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10650" activeTab="0"/>
  </bookViews>
  <sheets>
    <sheet name="контингент" sheetId="1" r:id="rId1"/>
    <sheet name="бюджет" sheetId="2" r:id="rId2"/>
    <sheet name="контракт" sheetId="3" r:id="rId3"/>
    <sheet name="кизлар" sheetId="4" r:id="rId4"/>
  </sheets>
  <definedNames>
    <definedName name="_xlnm.Print_Area" localSheetId="3">'кизлар'!$A$1:$R$80</definedName>
    <definedName name="_xlnm.Print_Area" localSheetId="2">'контракт'!$A$1:$X$96</definedName>
  </definedNames>
  <calcPr fullCalcOnLoad="1"/>
</workbook>
</file>

<file path=xl/sharedStrings.xml><?xml version="1.0" encoding="utf-8"?>
<sst xmlns="http://schemas.openxmlformats.org/spreadsheetml/2006/main" count="553" uniqueCount="145">
  <si>
    <t>№</t>
  </si>
  <si>
    <t>1 курс</t>
  </si>
  <si>
    <t>2 курс</t>
  </si>
  <si>
    <t>3 курс</t>
  </si>
  <si>
    <t>4 курс</t>
  </si>
  <si>
    <t>Жами</t>
  </si>
  <si>
    <t>Узб.</t>
  </si>
  <si>
    <t>рус</t>
  </si>
  <si>
    <t>тож.</t>
  </si>
  <si>
    <t>узб.</t>
  </si>
  <si>
    <t>узб</t>
  </si>
  <si>
    <t>тож</t>
  </si>
  <si>
    <t>рус.</t>
  </si>
  <si>
    <t>Математика</t>
  </si>
  <si>
    <t xml:space="preserve">Иктисодиет </t>
  </si>
  <si>
    <t>Физика</t>
  </si>
  <si>
    <t>Биология</t>
  </si>
  <si>
    <t>Тарих</t>
  </si>
  <si>
    <t xml:space="preserve">Ж А М И </t>
  </si>
  <si>
    <t>География</t>
  </si>
  <si>
    <t>Ижтимоий иш</t>
  </si>
  <si>
    <t>Кимё</t>
  </si>
  <si>
    <t>Астрономия</t>
  </si>
  <si>
    <t>МЕХАНИКА-МАТЕМАТИКА</t>
  </si>
  <si>
    <t>Археология</t>
  </si>
  <si>
    <t>бюджет</t>
  </si>
  <si>
    <t>контракт</t>
  </si>
  <si>
    <t>жами</t>
  </si>
  <si>
    <t>Факультет, йуналиш</t>
  </si>
  <si>
    <t>хаммаси</t>
  </si>
  <si>
    <t>Психология</t>
  </si>
  <si>
    <t>ФИЛОЛОГИЯ</t>
  </si>
  <si>
    <t>Спорт фаолияти</t>
  </si>
  <si>
    <t>Жисмоний маданият</t>
  </si>
  <si>
    <t>Самарканд давлат университети кундузги булимида укийдиган ХОТИН-КИЗЛАР контенгенти</t>
  </si>
  <si>
    <t xml:space="preserve">ФИЗИКА </t>
  </si>
  <si>
    <t>Факультет, йуналиш номи</t>
  </si>
  <si>
    <t>ЖИСМОНИЙ МАДАНИЯТ</t>
  </si>
  <si>
    <t>ТАРИХ</t>
  </si>
  <si>
    <t>Филология: тожик тили</t>
  </si>
  <si>
    <t>Филология: рус тили</t>
  </si>
  <si>
    <t xml:space="preserve">Она тили ва адабиёти </t>
  </si>
  <si>
    <t>Филология: ўзбек тили</t>
  </si>
  <si>
    <t>Амалий математика ва информатика</t>
  </si>
  <si>
    <t>Касб таълими: электроника ва асбобсозлик</t>
  </si>
  <si>
    <t>Экология ва атроф муҳит муҳофазаси</t>
  </si>
  <si>
    <t>Гидрометереология</t>
  </si>
  <si>
    <t>Самарканд давлат университетида БЮДЖЕТ асосида укийдиган талабалар контенгенти</t>
  </si>
  <si>
    <t>Самарканд давлат университетида ШАРТНОМА асосида укийдиган талабалар контенгенти</t>
  </si>
  <si>
    <t>Хизматлар</t>
  </si>
  <si>
    <t>ГЕОГРАФИЯ ВА ЭКОЛОГИЯ</t>
  </si>
  <si>
    <t>Kimyo texnologiya</t>
  </si>
  <si>
    <t>Biotexnologiya</t>
  </si>
  <si>
    <t>Биология (турлари бўйича)</t>
  </si>
  <si>
    <t>Психология (фаолият турлари бўйича)</t>
  </si>
  <si>
    <t>Биотехнология (тармоқлар бўйича)</t>
  </si>
  <si>
    <t>Спорт фаолияти (хотин-қизлар спорти йўналиши бўйича)</t>
  </si>
  <si>
    <t>Матералшуночлик ва янги материаллар технологиси</t>
  </si>
  <si>
    <t>ИҚТИСОДИЁТ</t>
  </si>
  <si>
    <t>ПСИХОЛОГИЯ ВА ИЖТИМОИЙ ФАНЛАР</t>
  </si>
  <si>
    <t>Фалсафа</t>
  </si>
  <si>
    <t xml:space="preserve">БИОЛОГИЯ </t>
  </si>
  <si>
    <t>Кишлок ва сув хужалиги</t>
  </si>
  <si>
    <t>Ижтимоий соҳа, иқтисод ваҳуқуқ</t>
  </si>
  <si>
    <t>Соғлиқни сақлаш ва ижтимоий таъминот</t>
  </si>
  <si>
    <t>Филология ва тилларни ўқитиш:: тожик тили</t>
  </si>
  <si>
    <t>Филология ва тилларни ўқитиш:: ўзбек тили</t>
  </si>
  <si>
    <t>Филология ва тилларни ўқитиш:: рус тили</t>
  </si>
  <si>
    <t>Доривор ўсимликларни етиштириш технологияси</t>
  </si>
  <si>
    <t>Материалшунослик ва янги материаллар технологияси(тармоқлар бўйича)</t>
  </si>
  <si>
    <t>Кимёвий технология (ишлаб чиқариш турлари бўйича)</t>
  </si>
  <si>
    <t>Экология ва атроф-муҳит муҳофазаси (тармоқлар ва соҳалар бўйича)</t>
  </si>
  <si>
    <t>Гуманитар фанлар</t>
  </si>
  <si>
    <t>Хаёт хакидаги фан</t>
  </si>
  <si>
    <t>ижтимоий таъминот</t>
  </si>
  <si>
    <t>Fizika va astranomiya o'qitish metodikasi</t>
  </si>
  <si>
    <t>Xorijiy til va adabiyoti: ingliz tili</t>
  </si>
  <si>
    <t>Sotsiologiya</t>
  </si>
  <si>
    <t>Psixologiya: amaliy psixologiya</t>
  </si>
  <si>
    <t>Хорижий тил ва адабиёти: инглиз тили</t>
  </si>
  <si>
    <t>Агрокимё ва агротупроқшунослик</t>
  </si>
  <si>
    <t>Социология</t>
  </si>
  <si>
    <t>Психология: амалий психология</t>
  </si>
  <si>
    <t>Рагтасвир: дастгоҳли</t>
  </si>
  <si>
    <t>Вакал санъати: ананавий хонандалик</t>
  </si>
  <si>
    <t>Амалий санъат:  бадий кулолчилик</t>
  </si>
  <si>
    <t>Чолғу бжрочилиги: халқ чолғулари</t>
  </si>
  <si>
    <t>Шифри</t>
  </si>
  <si>
    <t>Бизнес бошқарув</t>
  </si>
  <si>
    <t>Табиий фанлар</t>
  </si>
  <si>
    <t>Санъат</t>
  </si>
  <si>
    <t>Фан</t>
  </si>
  <si>
    <t>Ишлаб чиқариш ва тех,соҳа</t>
  </si>
  <si>
    <t>Атроф мухит мухофа</t>
  </si>
  <si>
    <t>Таълим ўқитувчилар тайёрлаш ва педагогик фанлар</t>
  </si>
  <si>
    <t>МАТЕМАТИКА</t>
  </si>
  <si>
    <t>Математика ва информатика</t>
  </si>
  <si>
    <t>Механика ва математика моделлаштириш</t>
  </si>
  <si>
    <t>Математик инжиниринг (ишлаб чиқариш соҳалари бўйича)</t>
  </si>
  <si>
    <t>Амалий математика</t>
  </si>
  <si>
    <t>Компьютер илмлари ва дастурлаш технологиялари (йўналишлар бўйича)</t>
  </si>
  <si>
    <t>Дастурий инжиниринг</t>
  </si>
  <si>
    <t>Ноширлик иши</t>
  </si>
  <si>
    <t>Ўзга тилли гуруҳларда рус тили</t>
  </si>
  <si>
    <t>География ва иқтисодий билим асослари</t>
  </si>
  <si>
    <t>Геология (фаолият соҳаси бўйича)</t>
  </si>
  <si>
    <t>Юриспруденция (фаолият турлари бўйича)</t>
  </si>
  <si>
    <t>Ўсимликларни ҳимоя қилиш (экин турлари бўйича)</t>
  </si>
  <si>
    <t>Мевачилик ва узумчилик</t>
  </si>
  <si>
    <t>Сабзавотчилик, полизчилик ва картошкачилик</t>
  </si>
  <si>
    <t>Иссиқхона хўжалигини ташкил этиш ва юритиш</t>
  </si>
  <si>
    <t>Физика ва астрономия</t>
  </si>
  <si>
    <t>Бошланғич таълим</t>
  </si>
  <si>
    <t>Ҳуқуқ</t>
  </si>
  <si>
    <t>Хизматлар соҳаси</t>
  </si>
  <si>
    <t>Қишлоқ ва сув хўжалиги</t>
  </si>
  <si>
    <t>Кимё (turlari bo'yicha)</t>
  </si>
  <si>
    <t>ЮРИДИК</t>
  </si>
  <si>
    <t>Спорт фаолияти (кураш)</t>
  </si>
  <si>
    <t>ИНСОН РУСУРСЛАРИНИ БОШКАРИШ</t>
  </si>
  <si>
    <t xml:space="preserve">Таълим ўқитувчилар </t>
  </si>
  <si>
    <t>ижтимоий фанлар</t>
  </si>
  <si>
    <t>Сунъий интеллект</t>
  </si>
  <si>
    <t>ИНТЕЛЛЕКТУАЛ ТИЗИМЛАР ВА КОМПЮТЕР ТЕХНОЛОГИЯЛАР</t>
  </si>
  <si>
    <t>Тиббиёт физикаси</t>
  </si>
  <si>
    <t>Электроника ва асбобсозлик (тармоқлар бўйича)</t>
  </si>
  <si>
    <t>Интеллектуал муҳандислик тизимлари (тармоқлар ва соҳалар бўйича)</t>
  </si>
  <si>
    <t>Машинасозлик технологияси, машинасозлик ишлаб чиқаришини жиҳозлаш ва автоматлаштириш</t>
  </si>
  <si>
    <t>МУҲАНДИСЛИК ФИЗИКАСИ ИНСТИТУТИ:</t>
  </si>
  <si>
    <t>Қишлоқ хўжалиги экинлари селекцияси ва уруғчилиги (экин турлари бўйича)</t>
  </si>
  <si>
    <t>Банк иши ва аудити</t>
  </si>
  <si>
    <t>Инсон ресурсларини бошқариш</t>
  </si>
  <si>
    <t>Агробизнес ва инвестицион фаолият</t>
  </si>
  <si>
    <t>Рақамли иқтисодиёт (тармоқлар ва соҳалар бўйича)</t>
  </si>
  <si>
    <t>АГРОБИОТЕХНОЛОГИЯЛАР ВА ОЗИҚ-ОВҚАТ ХАВФСИЗЛИГИ ИНСТИТУТИ:</t>
  </si>
  <si>
    <t>ПСИХОЛОГИЯ ВА ИЖТИМОИЙ-СИЁСИЙ ФАНЛАР</t>
  </si>
  <si>
    <t>Курсдан колган</t>
  </si>
  <si>
    <t>Дизайн: ландшафт дизайни</t>
  </si>
  <si>
    <t>Филология ва тилларни ўқитиш:: инглиз тили</t>
  </si>
  <si>
    <t>Ўрмончилик ва аҳоли яшаш жойларини кўкаламзорлаштириш</t>
  </si>
  <si>
    <t>БИОКИМЁ ИНСТИТУТИ:</t>
  </si>
  <si>
    <t>ПЕДАГОГИКА ТАЪЛИМИ</t>
  </si>
  <si>
    <t>Самарканд давлат университети кундузги бўлимида ўқийдиган талабалар контенгенти</t>
  </si>
  <si>
    <t>ИНСОН РЕСУРСЛАРИ ВА МАҲАЛЛА ТАРАҚҚИЁТИНИ БОШҚАРИШ  ИНСТИТУТИ:</t>
  </si>
  <si>
    <t>01.11.2023 холати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</si>
</sst>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5"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Arial Cyr"/>
      <family val="2"/>
    </font>
    <font>
      <sz val="12"/>
      <name val="Arial Cyr"/>
      <family val="0"/>
    </font>
    <font>
      <sz val="8"/>
      <name val="Calibri"/>
      <family val="2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56"/>
      <name val="Times New Roman"/>
      <family val="1"/>
    </font>
    <font>
      <sz val="8"/>
      <color indexed="30"/>
      <name val="Times New Roman"/>
      <family val="1"/>
    </font>
    <font>
      <sz val="8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  <font>
      <sz val="11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002060"/>
      <name val="Times New Roman"/>
      <family val="1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81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2" fillId="34" borderId="10" xfId="0" applyFont="1" applyFill="1" applyBorder="1" applyAlignment="1">
      <alignment vertical="center" wrapText="1"/>
    </xf>
    <xf numFmtId="0" fontId="80" fillId="0" borderId="10" xfId="0" applyFont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vertical="center" wrapText="1"/>
    </xf>
    <xf numFmtId="0" fontId="84" fillId="0" borderId="0" xfId="0" applyFont="1" applyAlignment="1">
      <alignment/>
    </xf>
    <xf numFmtId="0" fontId="83" fillId="34" borderId="10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3" fillId="34" borderId="10" xfId="0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8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82" fillId="34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85" fillId="0" borderId="13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85" fillId="34" borderId="13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0" fillId="34" borderId="13" xfId="0" applyFont="1" applyFill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34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/>
    </xf>
    <xf numFmtId="0" fontId="23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15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10" fillId="36" borderId="11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10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right"/>
    </xf>
    <xf numFmtId="0" fontId="89" fillId="36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/>
    </xf>
    <xf numFmtId="0" fontId="90" fillId="13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vertical="center" wrapText="1"/>
    </xf>
    <xf numFmtId="0" fontId="28" fillId="18" borderId="10" xfId="0" applyFont="1" applyFill="1" applyBorder="1" applyAlignment="1">
      <alignment horizontal="left"/>
    </xf>
    <xf numFmtId="0" fontId="16" fillId="19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vertical="center" wrapText="1"/>
    </xf>
    <xf numFmtId="0" fontId="87" fillId="19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18" borderId="10" xfId="0" applyFont="1" applyFill="1" applyBorder="1" applyAlignment="1">
      <alignment horizontal="left" vertical="center"/>
    </xf>
    <xf numFmtId="0" fontId="16" fillId="18" borderId="10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0" fontId="16" fillId="18" borderId="10" xfId="0" applyFont="1" applyFill="1" applyBorder="1" applyAlignment="1">
      <alignment vertical="center"/>
    </xf>
    <xf numFmtId="0" fontId="16" fillId="18" borderId="10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right"/>
    </xf>
    <xf numFmtId="0" fontId="12" fillId="18" borderId="10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0" fontId="93" fillId="18" borderId="0" xfId="0" applyFont="1" applyFill="1" applyAlignment="1">
      <alignment/>
    </xf>
    <xf numFmtId="0" fontId="1" fillId="18" borderId="10" xfId="0" applyFont="1" applyFill="1" applyBorder="1" applyAlignment="1">
      <alignment/>
    </xf>
    <xf numFmtId="0" fontId="19" fillId="18" borderId="10" xfId="0" applyFont="1" applyFill="1" applyBorder="1" applyAlignment="1">
      <alignment horizontal="center" vertical="center"/>
    </xf>
    <xf numFmtId="0" fontId="8" fillId="18" borderId="0" xfId="0" applyFont="1" applyFill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vertical="center"/>
    </xf>
    <xf numFmtId="0" fontId="19" fillId="18" borderId="10" xfId="0" applyFont="1" applyFill="1" applyBorder="1" applyAlignment="1">
      <alignment horizontal="left" vertical="center" wrapText="1"/>
    </xf>
    <xf numFmtId="0" fontId="19" fillId="18" borderId="10" xfId="0" applyFont="1" applyFill="1" applyBorder="1" applyAlignment="1">
      <alignment/>
    </xf>
    <xf numFmtId="0" fontId="19" fillId="18" borderId="10" xfId="0" applyFont="1" applyFill="1" applyBorder="1" applyAlignment="1">
      <alignment wrapText="1"/>
    </xf>
    <xf numFmtId="0" fontId="15" fillId="35" borderId="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22" fillId="19" borderId="0" xfId="0" applyFont="1" applyFill="1" applyAlignment="1">
      <alignment vertical="center"/>
    </xf>
    <xf numFmtId="0" fontId="24" fillId="19" borderId="10" xfId="0" applyFont="1" applyFill="1" applyBorder="1" applyAlignment="1">
      <alignment vertical="center"/>
    </xf>
    <xf numFmtId="0" fontId="19" fillId="19" borderId="10" xfId="0" applyFont="1" applyFill="1" applyBorder="1" applyAlignment="1">
      <alignment vertical="center" wrapText="1"/>
    </xf>
    <xf numFmtId="0" fontId="19" fillId="19" borderId="10" xfId="0" applyFont="1" applyFill="1" applyBorder="1" applyAlignment="1">
      <alignment horizontal="left" vertical="center"/>
    </xf>
    <xf numFmtId="0" fontId="19" fillId="19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vertical="center"/>
    </xf>
    <xf numFmtId="0" fontId="24" fillId="19" borderId="10" xfId="0" applyFont="1" applyFill="1" applyBorder="1" applyAlignment="1">
      <alignment horizontal="left" vertical="center" wrapText="1"/>
    </xf>
    <xf numFmtId="0" fontId="19" fillId="19" borderId="10" xfId="0" applyFont="1" applyFill="1" applyBorder="1" applyAlignment="1">
      <alignment horizontal="left" vertical="center" wrapText="1"/>
    </xf>
    <xf numFmtId="0" fontId="22" fillId="19" borderId="0" xfId="0" applyFont="1" applyFill="1" applyAlignment="1">
      <alignment horizontal="right" vertical="center"/>
    </xf>
    <xf numFmtId="0" fontId="19" fillId="19" borderId="10" xfId="0" applyFont="1" applyFill="1" applyBorder="1" applyAlignment="1">
      <alignment horizontal="right" vertical="center"/>
    </xf>
    <xf numFmtId="0" fontId="19" fillId="19" borderId="10" xfId="0" applyFont="1" applyFill="1" applyBorder="1" applyAlignment="1">
      <alignment/>
    </xf>
    <xf numFmtId="0" fontId="19" fillId="19" borderId="10" xfId="0" applyFont="1" applyFill="1" applyBorder="1" applyAlignment="1">
      <alignment wrapText="1"/>
    </xf>
    <xf numFmtId="0" fontId="94" fillId="34" borderId="10" xfId="0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36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14" fontId="26" fillId="34" borderId="16" xfId="0" applyNumberFormat="1" applyFont="1" applyFill="1" applyBorder="1" applyAlignment="1">
      <alignment horizontal="center"/>
    </xf>
    <xf numFmtId="14" fontId="26" fillId="34" borderId="17" xfId="0" applyNumberFormat="1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2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view="pageBreakPreview" zoomScale="115" zoomScaleSheetLayoutView="115" zoomScalePageLayoutView="0" workbookViewId="0" topLeftCell="A1">
      <pane xSplit="4" ySplit="4" topLeftCell="E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53" sqref="O53"/>
    </sheetView>
  </sheetViews>
  <sheetFormatPr defaultColWidth="9.140625" defaultRowHeight="12.75"/>
  <cols>
    <col min="1" max="1" width="2.7109375" style="59" customWidth="1"/>
    <col min="2" max="2" width="17.140625" style="59" hidden="1" customWidth="1"/>
    <col min="3" max="3" width="9.00390625" style="211" bestFit="1" customWidth="1"/>
    <col min="4" max="4" width="48.28125" style="58" bestFit="1" customWidth="1"/>
    <col min="5" max="5" width="6.8515625" style="59" customWidth="1"/>
    <col min="6" max="6" width="6.00390625" style="59" customWidth="1"/>
    <col min="7" max="7" width="6.140625" style="59" customWidth="1"/>
    <col min="8" max="8" width="8.140625" style="59" customWidth="1"/>
    <col min="9" max="9" width="7.8515625" style="59" customWidth="1"/>
    <col min="10" max="10" width="7.28125" style="59" customWidth="1"/>
    <col min="11" max="11" width="5.421875" style="59" customWidth="1"/>
    <col min="12" max="12" width="5.57421875" style="59" customWidth="1"/>
    <col min="13" max="13" width="8.00390625" style="59" customWidth="1"/>
    <col min="14" max="14" width="7.57421875" style="59" customWidth="1"/>
    <col min="15" max="15" width="6.8515625" style="59" customWidth="1"/>
    <col min="16" max="16" width="5.57421875" style="59" customWidth="1"/>
    <col min="17" max="17" width="5.7109375" style="59" customWidth="1"/>
    <col min="18" max="18" width="7.421875" style="59" customWidth="1"/>
    <col min="19" max="19" width="6.7109375" style="59" customWidth="1"/>
    <col min="20" max="20" width="6.140625" style="59" customWidth="1"/>
    <col min="21" max="22" width="5.7109375" style="59" customWidth="1"/>
    <col min="23" max="23" width="8.8515625" style="59" customWidth="1"/>
    <col min="24" max="24" width="7.140625" style="59" customWidth="1"/>
    <col min="25" max="25" width="6.8515625" style="59" customWidth="1"/>
    <col min="26" max="26" width="6.7109375" style="59" customWidth="1"/>
    <col min="27" max="28" width="6.421875" style="59" customWidth="1"/>
    <col min="29" max="29" width="8.421875" style="59" customWidth="1"/>
    <col min="30" max="16384" width="9.140625" style="59" customWidth="1"/>
  </cols>
  <sheetData>
    <row r="1" spans="1:29" ht="19.5">
      <c r="A1" s="212" t="s">
        <v>142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</row>
    <row r="2" spans="1:29" ht="15.75">
      <c r="A2" s="213" t="s">
        <v>144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</row>
    <row r="3" spans="1:29" ht="12.75">
      <c r="A3" s="216" t="s">
        <v>0</v>
      </c>
      <c r="B3" s="144"/>
      <c r="C3" s="216" t="s">
        <v>87</v>
      </c>
      <c r="D3" s="218" t="s">
        <v>36</v>
      </c>
      <c r="E3" s="215" t="s">
        <v>1</v>
      </c>
      <c r="F3" s="215"/>
      <c r="G3" s="215"/>
      <c r="H3" s="215"/>
      <c r="I3" s="215"/>
      <c r="J3" s="215" t="s">
        <v>2</v>
      </c>
      <c r="K3" s="215"/>
      <c r="L3" s="215"/>
      <c r="M3" s="215"/>
      <c r="N3" s="215"/>
      <c r="O3" s="215" t="s">
        <v>3</v>
      </c>
      <c r="P3" s="215"/>
      <c r="Q3" s="215"/>
      <c r="R3" s="215"/>
      <c r="S3" s="215"/>
      <c r="T3" s="215" t="s">
        <v>4</v>
      </c>
      <c r="U3" s="215"/>
      <c r="V3" s="215"/>
      <c r="W3" s="215"/>
      <c r="X3" s="215"/>
      <c r="Y3" s="215" t="s">
        <v>5</v>
      </c>
      <c r="Z3" s="215"/>
      <c r="AA3" s="215"/>
      <c r="AB3" s="102"/>
      <c r="AC3" s="60"/>
    </row>
    <row r="4" spans="1:29" ht="33.75">
      <c r="A4" s="217"/>
      <c r="B4" s="145"/>
      <c r="C4" s="217"/>
      <c r="D4" s="219"/>
      <c r="E4" s="60" t="s">
        <v>6</v>
      </c>
      <c r="F4" s="60" t="s">
        <v>7</v>
      </c>
      <c r="G4" s="60" t="s">
        <v>8</v>
      </c>
      <c r="H4" s="146" t="s">
        <v>136</v>
      </c>
      <c r="I4" s="60" t="s">
        <v>5</v>
      </c>
      <c r="J4" s="60" t="s">
        <v>9</v>
      </c>
      <c r="K4" s="60" t="s">
        <v>7</v>
      </c>
      <c r="L4" s="60" t="s">
        <v>8</v>
      </c>
      <c r="M4" s="146" t="s">
        <v>136</v>
      </c>
      <c r="N4" s="60" t="s">
        <v>5</v>
      </c>
      <c r="O4" s="60" t="s">
        <v>10</v>
      </c>
      <c r="P4" s="60" t="s">
        <v>7</v>
      </c>
      <c r="Q4" s="60" t="s">
        <v>11</v>
      </c>
      <c r="R4" s="146" t="s">
        <v>136</v>
      </c>
      <c r="S4" s="60" t="s">
        <v>5</v>
      </c>
      <c r="T4" s="60" t="s">
        <v>9</v>
      </c>
      <c r="U4" s="60" t="s">
        <v>7</v>
      </c>
      <c r="V4" s="60" t="s">
        <v>11</v>
      </c>
      <c r="W4" s="146" t="s">
        <v>136</v>
      </c>
      <c r="X4" s="60" t="s">
        <v>5</v>
      </c>
      <c r="Y4" s="60" t="s">
        <v>9</v>
      </c>
      <c r="Z4" s="60" t="s">
        <v>12</v>
      </c>
      <c r="AA4" s="60" t="s">
        <v>8</v>
      </c>
      <c r="AB4" s="147" t="s">
        <v>136</v>
      </c>
      <c r="AC4" s="60" t="s">
        <v>5</v>
      </c>
    </row>
    <row r="5" spans="1:29" s="194" customFormat="1" ht="12.75">
      <c r="A5" s="197">
        <v>1</v>
      </c>
      <c r="B5" s="197"/>
      <c r="C5" s="198"/>
      <c r="D5" s="196" t="s">
        <v>95</v>
      </c>
      <c r="E5" s="198">
        <f>+E6+E7+E8+E9</f>
        <v>226</v>
      </c>
      <c r="F5" s="198">
        <f aca="true" t="shared" si="0" ref="F5:AC5">+F6+F7+F8+F9</f>
        <v>36</v>
      </c>
      <c r="G5" s="198">
        <f t="shared" si="0"/>
        <v>0</v>
      </c>
      <c r="H5" s="198">
        <f>+H6+H7+H8+H9</f>
        <v>13</v>
      </c>
      <c r="I5" s="198">
        <f t="shared" si="0"/>
        <v>262</v>
      </c>
      <c r="J5" s="198">
        <f t="shared" si="0"/>
        <v>203</v>
      </c>
      <c r="K5" s="198">
        <f t="shared" si="0"/>
        <v>36</v>
      </c>
      <c r="L5" s="198">
        <f t="shared" si="0"/>
        <v>0</v>
      </c>
      <c r="M5" s="198">
        <f>+M6+M7+M8+M9</f>
        <v>9</v>
      </c>
      <c r="N5" s="198">
        <f t="shared" si="0"/>
        <v>239</v>
      </c>
      <c r="O5" s="198">
        <f t="shared" si="0"/>
        <v>159</v>
      </c>
      <c r="P5" s="198">
        <f t="shared" si="0"/>
        <v>25</v>
      </c>
      <c r="Q5" s="198">
        <f t="shared" si="0"/>
        <v>0</v>
      </c>
      <c r="R5" s="198">
        <f>+R6+R7+R8+R9</f>
        <v>3</v>
      </c>
      <c r="S5" s="198">
        <f t="shared" si="0"/>
        <v>184</v>
      </c>
      <c r="T5" s="198">
        <f t="shared" si="0"/>
        <v>436</v>
      </c>
      <c r="U5" s="198">
        <f t="shared" si="0"/>
        <v>83</v>
      </c>
      <c r="V5" s="198">
        <f t="shared" si="0"/>
        <v>25</v>
      </c>
      <c r="W5" s="198">
        <f t="shared" si="0"/>
        <v>0</v>
      </c>
      <c r="X5" s="198">
        <f t="shared" si="0"/>
        <v>544</v>
      </c>
      <c r="Y5" s="198">
        <f t="shared" si="0"/>
        <v>1024</v>
      </c>
      <c r="Z5" s="198">
        <f t="shared" si="0"/>
        <v>180</v>
      </c>
      <c r="AA5" s="198">
        <f t="shared" si="0"/>
        <v>25</v>
      </c>
      <c r="AB5" s="198">
        <f t="shared" si="0"/>
        <v>25</v>
      </c>
      <c r="AC5" s="198">
        <f t="shared" si="0"/>
        <v>1229</v>
      </c>
    </row>
    <row r="6" spans="1:29" ht="12.75">
      <c r="A6" s="60">
        <v>1</v>
      </c>
      <c r="B6" s="150" t="s">
        <v>91</v>
      </c>
      <c r="C6" s="136">
        <v>60540100</v>
      </c>
      <c r="D6" s="52" t="s">
        <v>13</v>
      </c>
      <c r="E6" s="96">
        <f>51+9+12+1+33+7+12+5</f>
        <v>130</v>
      </c>
      <c r="F6" s="96">
        <f>9+3+3+3</f>
        <v>18</v>
      </c>
      <c r="G6" s="96"/>
      <c r="H6" s="96">
        <v>4</v>
      </c>
      <c r="I6" s="96">
        <f>E6+F6+G6</f>
        <v>148</v>
      </c>
      <c r="J6" s="96">
        <f>48+33+13+19+4+1+1-1-1-3-7+6</f>
        <v>113</v>
      </c>
      <c r="K6" s="96">
        <f>10+11+1+2-1-1-6+3</f>
        <v>19</v>
      </c>
      <c r="L6" s="96"/>
      <c r="M6" s="133">
        <v>2</v>
      </c>
      <c r="N6" s="96">
        <f>J6+K6+L6</f>
        <v>132</v>
      </c>
      <c r="O6" s="96">
        <f>19+3+1+10+1+19+5+12+1+4+4+2+1+3+4+1-1+2-2+1+1-1+1+1-2-8+1</f>
        <v>83</v>
      </c>
      <c r="P6" s="96">
        <f>10+8+3+2+1+2+1-1-1-1-2-4</f>
        <v>18</v>
      </c>
      <c r="Q6" s="96"/>
      <c r="R6" s="96">
        <v>1</v>
      </c>
      <c r="S6" s="99">
        <f>O6+P6+Q6</f>
        <v>101</v>
      </c>
      <c r="T6" s="96">
        <f>37+45+12+6+5-1+2+1+2-2-1-1+6+3+13-4+5+1-1-1-1-1+7-1+7+3-2-1-2+1+14-1+2-1+1+4-3+1+1+1+1-1-2+1+1-1+1+1-12+1-1+12+12-1</f>
        <v>168</v>
      </c>
      <c r="U6" s="96">
        <f>8+9+1-1-1-1-1-1</f>
        <v>13</v>
      </c>
      <c r="V6" s="96"/>
      <c r="W6" s="96"/>
      <c r="X6" s="96">
        <f>T6+U6+V6</f>
        <v>181</v>
      </c>
      <c r="Y6" s="102">
        <f aca="true" t="shared" si="1" ref="Y6:AA9">E6+J6+O6+T6</f>
        <v>494</v>
      </c>
      <c r="Z6" s="102">
        <f t="shared" si="1"/>
        <v>68</v>
      </c>
      <c r="AA6" s="102">
        <f t="shared" si="1"/>
        <v>0</v>
      </c>
      <c r="AB6" s="102">
        <f>+M6+R6+W6+H6</f>
        <v>7</v>
      </c>
      <c r="AC6" s="151">
        <f>Y6+Z6+AA6</f>
        <v>562</v>
      </c>
    </row>
    <row r="7" spans="1:29" ht="12.75">
      <c r="A7" s="60">
        <v>2</v>
      </c>
      <c r="B7" s="152" t="s">
        <v>120</v>
      </c>
      <c r="C7" s="136">
        <v>60110600</v>
      </c>
      <c r="D7" s="65" t="s">
        <v>96</v>
      </c>
      <c r="E7" s="99"/>
      <c r="F7" s="99"/>
      <c r="G7" s="99"/>
      <c r="H7" s="99"/>
      <c r="I7" s="96">
        <f>E7+F7+G7</f>
        <v>0</v>
      </c>
      <c r="J7" s="99"/>
      <c r="K7" s="99"/>
      <c r="L7" s="99"/>
      <c r="M7" s="134"/>
      <c r="N7" s="96">
        <f>J7+K7+L7</f>
        <v>0</v>
      </c>
      <c r="O7" s="99"/>
      <c r="P7" s="99"/>
      <c r="Q7" s="99"/>
      <c r="R7" s="99"/>
      <c r="S7" s="99">
        <f>O7+P7+Q7</f>
        <v>0</v>
      </c>
      <c r="T7" s="99">
        <f>1+1+48+2+97-1+15+1+8+17-1+5+2+1+2+1-1-1-1-1-1-16-1+8+1-2-3+11-4-1+1-1+1-1-3+6+1-2-2-3-2-1+5-3-1-2-1-6-2+2+1-1-2-2-1-1</f>
        <v>167</v>
      </c>
      <c r="U7" s="99">
        <f>12+17+7+34-1+4+3+8-1-1-1-8-1-2-1-1-1-1-1-1-1-1-1-1-1-1</f>
        <v>58</v>
      </c>
      <c r="V7" s="99">
        <f>9+10+6-1-1+3-1</f>
        <v>25</v>
      </c>
      <c r="W7" s="99"/>
      <c r="X7" s="96">
        <f>T7+U7+V7</f>
        <v>250</v>
      </c>
      <c r="Y7" s="102">
        <f t="shared" si="1"/>
        <v>167</v>
      </c>
      <c r="Z7" s="102">
        <f t="shared" si="1"/>
        <v>58</v>
      </c>
      <c r="AA7" s="102">
        <f t="shared" si="1"/>
        <v>25</v>
      </c>
      <c r="AB7" s="102">
        <f aca="true" t="shared" si="2" ref="AB7:AB55">+M7+R7+W7+H7</f>
        <v>0</v>
      </c>
      <c r="AC7" s="153">
        <f>Y7+Z7+AA7</f>
        <v>250</v>
      </c>
    </row>
    <row r="8" spans="1:29" ht="12.75">
      <c r="A8" s="60">
        <v>3</v>
      </c>
      <c r="B8" s="150" t="s">
        <v>91</v>
      </c>
      <c r="C8" s="136">
        <v>60540300</v>
      </c>
      <c r="D8" s="65" t="s">
        <v>98</v>
      </c>
      <c r="E8" s="99">
        <f>10+1+2+7+1+1</f>
        <v>22</v>
      </c>
      <c r="F8" s="99"/>
      <c r="G8" s="99"/>
      <c r="H8" s="99"/>
      <c r="I8" s="96">
        <f>E8+F8+G8</f>
        <v>22</v>
      </c>
      <c r="J8" s="99">
        <f>11+6+5+3+1-1-1-1-1+7</f>
        <v>29</v>
      </c>
      <c r="K8" s="99"/>
      <c r="L8" s="99"/>
      <c r="M8" s="99">
        <v>3</v>
      </c>
      <c r="N8" s="96">
        <f>J8+K8+L8</f>
        <v>29</v>
      </c>
      <c r="O8" s="99">
        <f>10+7+7+1+1+1+1+1-1-1-10+1</f>
        <v>18</v>
      </c>
      <c r="P8" s="99"/>
      <c r="Q8" s="99"/>
      <c r="R8" s="99"/>
      <c r="S8" s="99">
        <f>O8+P8+Q8</f>
        <v>18</v>
      </c>
      <c r="T8" s="99">
        <f>10+14+2+1-1+1-1-1</f>
        <v>25</v>
      </c>
      <c r="U8" s="99"/>
      <c r="V8" s="99"/>
      <c r="W8" s="99"/>
      <c r="X8" s="96">
        <f>T8+U8+V8</f>
        <v>25</v>
      </c>
      <c r="Y8" s="102">
        <f t="shared" si="1"/>
        <v>94</v>
      </c>
      <c r="Z8" s="102">
        <f t="shared" si="1"/>
        <v>0</v>
      </c>
      <c r="AA8" s="102">
        <f t="shared" si="1"/>
        <v>0</v>
      </c>
      <c r="AB8" s="102">
        <f t="shared" si="2"/>
        <v>3</v>
      </c>
      <c r="AC8" s="153">
        <f>Y8+Z8+AA8</f>
        <v>94</v>
      </c>
    </row>
    <row r="9" spans="1:29" ht="12.75">
      <c r="A9" s="60">
        <v>4</v>
      </c>
      <c r="B9" s="150"/>
      <c r="C9" s="136">
        <v>60540200</v>
      </c>
      <c r="D9" s="65" t="s">
        <v>99</v>
      </c>
      <c r="E9" s="99">
        <f>28+5+7+2+19+1+6+6</f>
        <v>74</v>
      </c>
      <c r="F9" s="99">
        <f>5+1+1+1+5+5</f>
        <v>18</v>
      </c>
      <c r="G9" s="99"/>
      <c r="H9" s="99">
        <v>9</v>
      </c>
      <c r="I9" s="96">
        <f>E9+F9+G9</f>
        <v>92</v>
      </c>
      <c r="J9" s="99">
        <f>26+24+8+9+3+2+2-1-1+1-3+1-10</f>
        <v>61</v>
      </c>
      <c r="K9" s="99">
        <f>5+10+3+1+1-1+1+1-1-1-1+1+1-1-10+8</f>
        <v>17</v>
      </c>
      <c r="L9" s="99"/>
      <c r="M9" s="99">
        <v>4</v>
      </c>
      <c r="N9" s="96">
        <f>J9+K9+L9</f>
        <v>78</v>
      </c>
      <c r="O9" s="99">
        <f>22+1+3+19+3-1+1+1+1+9+1-1+1+1+3-1+1-1-2-1-1+2+2-2-1+1+1+1+1-1-1-1-1-1-3-1-2+5</f>
        <v>58</v>
      </c>
      <c r="P9" s="99">
        <f>9+1+2+6+1+2+1+5+1-1+1+1-1-1-1-2-1-2-1-1-1-12+1</f>
        <v>7</v>
      </c>
      <c r="Q9" s="99"/>
      <c r="R9" s="99">
        <v>2</v>
      </c>
      <c r="S9" s="99">
        <f>O9+P9+Q9</f>
        <v>65</v>
      </c>
      <c r="T9" s="99">
        <f>21+1+33+9+3+8+4-1-1+1-2-1-2-3+2+1-3+7+1+1+1-1-1+7-3+1-1-1-1-5+2-1</f>
        <v>76</v>
      </c>
      <c r="U9" s="99">
        <f>4+1+11+3+1-1-1-1-1-1-1-2</f>
        <v>12</v>
      </c>
      <c r="V9" s="99"/>
      <c r="W9" s="99"/>
      <c r="X9" s="96">
        <f>T9+U9+V9</f>
        <v>88</v>
      </c>
      <c r="Y9" s="102">
        <f t="shared" si="1"/>
        <v>269</v>
      </c>
      <c r="Z9" s="102">
        <f t="shared" si="1"/>
        <v>54</v>
      </c>
      <c r="AA9" s="102">
        <f t="shared" si="1"/>
        <v>0</v>
      </c>
      <c r="AB9" s="102">
        <f t="shared" si="2"/>
        <v>15</v>
      </c>
      <c r="AC9" s="153">
        <f>Y9+Z9+AA9</f>
        <v>323</v>
      </c>
    </row>
    <row r="10" spans="1:29" s="194" customFormat="1" ht="22.5">
      <c r="A10" s="199">
        <v>2</v>
      </c>
      <c r="B10" s="199"/>
      <c r="C10" s="198"/>
      <c r="D10" s="200" t="s">
        <v>123</v>
      </c>
      <c r="E10" s="198">
        <f>+E11+E12+E13</f>
        <v>141</v>
      </c>
      <c r="F10" s="198">
        <f aca="true" t="shared" si="3" ref="F10:AC10">+F11+F12+F13</f>
        <v>0</v>
      </c>
      <c r="G10" s="198">
        <f t="shared" si="3"/>
        <v>0</v>
      </c>
      <c r="H10" s="198">
        <f>+H11+H12+H13</f>
        <v>3</v>
      </c>
      <c r="I10" s="198">
        <f t="shared" si="3"/>
        <v>141</v>
      </c>
      <c r="J10" s="198">
        <f t="shared" si="3"/>
        <v>94</v>
      </c>
      <c r="K10" s="198">
        <f t="shared" si="3"/>
        <v>14</v>
      </c>
      <c r="L10" s="198">
        <f t="shared" si="3"/>
        <v>0</v>
      </c>
      <c r="M10" s="198">
        <f>+M11+M12+M13</f>
        <v>1</v>
      </c>
      <c r="N10" s="198">
        <f t="shared" si="3"/>
        <v>108</v>
      </c>
      <c r="O10" s="198">
        <f t="shared" si="3"/>
        <v>102</v>
      </c>
      <c r="P10" s="198">
        <f t="shared" si="3"/>
        <v>15</v>
      </c>
      <c r="Q10" s="198">
        <f t="shared" si="3"/>
        <v>0</v>
      </c>
      <c r="R10" s="198">
        <f>+R11+R12+R13</f>
        <v>1</v>
      </c>
      <c r="S10" s="198">
        <f t="shared" si="3"/>
        <v>117</v>
      </c>
      <c r="T10" s="198">
        <f t="shared" si="3"/>
        <v>105</v>
      </c>
      <c r="U10" s="198">
        <f t="shared" si="3"/>
        <v>8</v>
      </c>
      <c r="V10" s="198">
        <f t="shared" si="3"/>
        <v>0</v>
      </c>
      <c r="W10" s="198">
        <f t="shared" si="3"/>
        <v>0</v>
      </c>
      <c r="X10" s="198">
        <f t="shared" si="3"/>
        <v>113</v>
      </c>
      <c r="Y10" s="198">
        <f t="shared" si="3"/>
        <v>442</v>
      </c>
      <c r="Z10" s="198">
        <f t="shared" si="3"/>
        <v>37</v>
      </c>
      <c r="AA10" s="198">
        <f t="shared" si="3"/>
        <v>0</v>
      </c>
      <c r="AB10" s="198">
        <f t="shared" si="3"/>
        <v>5</v>
      </c>
      <c r="AC10" s="198">
        <f t="shared" si="3"/>
        <v>479</v>
      </c>
    </row>
    <row r="11" spans="1:29" s="68" customFormat="1" ht="22.5">
      <c r="A11" s="60">
        <v>5</v>
      </c>
      <c r="B11" s="155" t="s">
        <v>92</v>
      </c>
      <c r="C11" s="136">
        <v>60610100</v>
      </c>
      <c r="D11" s="93" t="s">
        <v>100</v>
      </c>
      <c r="E11" s="99">
        <f>26+3+1+18+1+9</f>
        <v>58</v>
      </c>
      <c r="F11" s="99"/>
      <c r="G11" s="99"/>
      <c r="H11" s="99">
        <v>1</v>
      </c>
      <c r="I11" s="96">
        <f>E11+F11+G11</f>
        <v>58</v>
      </c>
      <c r="J11" s="99">
        <f>11+3+2+11+7-1-1+1-1-2-1-1-1-1+5+1</f>
        <v>32</v>
      </c>
      <c r="K11" s="99"/>
      <c r="L11" s="99"/>
      <c r="M11" s="99">
        <v>1</v>
      </c>
      <c r="N11" s="96">
        <f>J11+K11+L11</f>
        <v>32</v>
      </c>
      <c r="O11" s="99">
        <f>7+2+19+19+1+6+3+1+2+2+1-1+3-3-1-2+3-1+1-2-1+1+2-1-1-1-1-1-6+1</f>
        <v>52</v>
      </c>
      <c r="P11" s="99">
        <f>3+1+4+1+7-1-1+3+2+1+3+2+3-2-2-5-2-1-1</f>
        <v>15</v>
      </c>
      <c r="Q11" s="99"/>
      <c r="R11" s="99">
        <v>1</v>
      </c>
      <c r="S11" s="96">
        <f>O11+P11+Q11</f>
        <v>67</v>
      </c>
      <c r="T11" s="99">
        <f>2+7-1+25+22+7+1-2-2-2+1+2+5+1-1-1+2-1-2+2+1-1-1+2-1-1+1+1-1-2</f>
        <v>63</v>
      </c>
      <c r="U11" s="99">
        <f>3+4+11+1+2-1-1-3-2-2-2-1-1</f>
        <v>8</v>
      </c>
      <c r="V11" s="99"/>
      <c r="W11" s="99"/>
      <c r="X11" s="96">
        <f>T11+U11+V11</f>
        <v>71</v>
      </c>
      <c r="Y11" s="102">
        <f aca="true" t="shared" si="4" ref="Y11:AA13">E11+J11+O11+T11</f>
        <v>205</v>
      </c>
      <c r="Z11" s="102">
        <f t="shared" si="4"/>
        <v>23</v>
      </c>
      <c r="AA11" s="102">
        <f t="shared" si="4"/>
        <v>0</v>
      </c>
      <c r="AB11" s="102">
        <f t="shared" si="2"/>
        <v>3</v>
      </c>
      <c r="AC11" s="153">
        <f>Y11+Z11+AA11</f>
        <v>228</v>
      </c>
    </row>
    <row r="12" spans="1:29" s="68" customFormat="1" ht="22.5">
      <c r="A12" s="60">
        <v>6</v>
      </c>
      <c r="B12" s="155" t="s">
        <v>92</v>
      </c>
      <c r="C12" s="136">
        <v>60610600</v>
      </c>
      <c r="D12" s="93" t="s">
        <v>101</v>
      </c>
      <c r="E12" s="99">
        <f>16+1+1+20+3+12+3+1+1</f>
        <v>58</v>
      </c>
      <c r="F12" s="99"/>
      <c r="G12" s="99"/>
      <c r="H12" s="99">
        <v>1</v>
      </c>
      <c r="I12" s="96">
        <f>E12+F12+G12</f>
        <v>58</v>
      </c>
      <c r="J12" s="99">
        <f>22+10+11+11+1+5-1-1-2-1-1-3+1-1</f>
        <v>51</v>
      </c>
      <c r="K12" s="99">
        <f>5+6+5+4+1+2+1+1-1-1-1-1-1-1-5</f>
        <v>14</v>
      </c>
      <c r="L12" s="99"/>
      <c r="M12" s="99"/>
      <c r="N12" s="96">
        <f>J12+K12+L12</f>
        <v>65</v>
      </c>
      <c r="O12" s="99">
        <f>15+3+9+10+2+1+2+2+1+4-2-2-2+8+1-1+1+1-1-1+1+1-1-1-1+2+1-3</f>
        <v>50</v>
      </c>
      <c r="P12" s="99"/>
      <c r="Q12" s="99"/>
      <c r="R12" s="99"/>
      <c r="S12" s="96">
        <f>O12+P12+Q12</f>
        <v>50</v>
      </c>
      <c r="T12" s="99">
        <f>5+28+14+2+9+1-1-1-2+1-1-1-1-1-1-1+2-2-2-1-1-1-3</f>
        <v>42</v>
      </c>
      <c r="U12" s="99"/>
      <c r="V12" s="99"/>
      <c r="W12" s="99"/>
      <c r="X12" s="96">
        <f>T12+U12+V12</f>
        <v>42</v>
      </c>
      <c r="Y12" s="102">
        <f t="shared" si="4"/>
        <v>201</v>
      </c>
      <c r="Z12" s="102">
        <f t="shared" si="4"/>
        <v>14</v>
      </c>
      <c r="AA12" s="102">
        <f t="shared" si="4"/>
        <v>0</v>
      </c>
      <c r="AB12" s="102">
        <f t="shared" si="2"/>
        <v>1</v>
      </c>
      <c r="AC12" s="153">
        <f>Y12+Z12+AA12</f>
        <v>215</v>
      </c>
    </row>
    <row r="13" spans="1:29" s="68" customFormat="1" ht="12.75">
      <c r="A13" s="60">
        <v>7</v>
      </c>
      <c r="B13" s="155"/>
      <c r="C13" s="94">
        <v>60610700</v>
      </c>
      <c r="D13" s="93" t="s">
        <v>122</v>
      </c>
      <c r="E13" s="99">
        <f>11+2+3+5+1+3</f>
        <v>25</v>
      </c>
      <c r="F13" s="99"/>
      <c r="G13" s="99"/>
      <c r="H13" s="99">
        <v>1</v>
      </c>
      <c r="I13" s="96">
        <f>E13+F13+G13</f>
        <v>25</v>
      </c>
      <c r="J13" s="99">
        <f>10+2+2+5-1+1-3-1-1-1-2</f>
        <v>11</v>
      </c>
      <c r="K13" s="99"/>
      <c r="L13" s="99"/>
      <c r="M13" s="99"/>
      <c r="N13" s="96">
        <f>J13+K13+L13</f>
        <v>11</v>
      </c>
      <c r="O13" s="99"/>
      <c r="P13" s="99"/>
      <c r="Q13" s="99"/>
      <c r="R13" s="99"/>
      <c r="S13" s="96">
        <f>O13+P13+Q13</f>
        <v>0</v>
      </c>
      <c r="T13" s="99"/>
      <c r="U13" s="99"/>
      <c r="V13" s="99"/>
      <c r="W13" s="99"/>
      <c r="X13" s="96">
        <f>T13+U13+V13</f>
        <v>0</v>
      </c>
      <c r="Y13" s="102">
        <f t="shared" si="4"/>
        <v>36</v>
      </c>
      <c r="Z13" s="102">
        <f t="shared" si="4"/>
        <v>0</v>
      </c>
      <c r="AA13" s="102">
        <f t="shared" si="4"/>
        <v>0</v>
      </c>
      <c r="AB13" s="102">
        <f t="shared" si="2"/>
        <v>1</v>
      </c>
      <c r="AC13" s="153">
        <f>Y13+Z13+AA13</f>
        <v>36</v>
      </c>
    </row>
    <row r="14" spans="1:29" s="194" customFormat="1" ht="12.75">
      <c r="A14" s="199">
        <v>3</v>
      </c>
      <c r="B14" s="197"/>
      <c r="C14" s="198"/>
      <c r="D14" s="195" t="s">
        <v>128</v>
      </c>
      <c r="E14" s="198">
        <f>+E15+E16+E17+E18+E19+E20+E21</f>
        <v>240</v>
      </c>
      <c r="F14" s="198">
        <f aca="true" t="shared" si="5" ref="F14:AC14">+F15+F16+F17+F18+F19+F20+F21</f>
        <v>14</v>
      </c>
      <c r="G14" s="198">
        <f t="shared" si="5"/>
        <v>0</v>
      </c>
      <c r="H14" s="198">
        <f>+H15+H16+H17+H18+H19+H20+H21</f>
        <v>9</v>
      </c>
      <c r="I14" s="198">
        <f t="shared" si="5"/>
        <v>254</v>
      </c>
      <c r="J14" s="198">
        <f t="shared" si="5"/>
        <v>117</v>
      </c>
      <c r="K14" s="198">
        <f t="shared" si="5"/>
        <v>2</v>
      </c>
      <c r="L14" s="198">
        <f t="shared" si="5"/>
        <v>0</v>
      </c>
      <c r="M14" s="198">
        <f>+M15+M16+M17+M18+M19+M20+M21</f>
        <v>0</v>
      </c>
      <c r="N14" s="198">
        <f t="shared" si="5"/>
        <v>119</v>
      </c>
      <c r="O14" s="198">
        <f t="shared" si="5"/>
        <v>108</v>
      </c>
      <c r="P14" s="198">
        <f t="shared" si="5"/>
        <v>11</v>
      </c>
      <c r="Q14" s="198">
        <f t="shared" si="5"/>
        <v>0</v>
      </c>
      <c r="R14" s="198">
        <f>+R15+R16+R17+R18+R19+R20+R21</f>
        <v>0</v>
      </c>
      <c r="S14" s="198">
        <f t="shared" si="5"/>
        <v>119</v>
      </c>
      <c r="T14" s="198">
        <f t="shared" si="5"/>
        <v>169</v>
      </c>
      <c r="U14" s="198">
        <f t="shared" si="5"/>
        <v>38</v>
      </c>
      <c r="V14" s="198">
        <f t="shared" si="5"/>
        <v>7</v>
      </c>
      <c r="W14" s="198">
        <f t="shared" si="5"/>
        <v>0</v>
      </c>
      <c r="X14" s="198">
        <f t="shared" si="5"/>
        <v>214</v>
      </c>
      <c r="Y14" s="198">
        <f t="shared" si="5"/>
        <v>634</v>
      </c>
      <c r="Z14" s="198">
        <f t="shared" si="5"/>
        <v>65</v>
      </c>
      <c r="AA14" s="198">
        <f t="shared" si="5"/>
        <v>7</v>
      </c>
      <c r="AB14" s="198">
        <f t="shared" si="5"/>
        <v>9</v>
      </c>
      <c r="AC14" s="198">
        <f t="shared" si="5"/>
        <v>706</v>
      </c>
    </row>
    <row r="15" spans="1:29" ht="12.75">
      <c r="A15" s="60">
        <v>8</v>
      </c>
      <c r="B15" s="150" t="s">
        <v>89</v>
      </c>
      <c r="C15" s="136">
        <v>60530900</v>
      </c>
      <c r="D15" s="52" t="s">
        <v>15</v>
      </c>
      <c r="E15" s="96">
        <f>30+2+11+1+22+4-2+1</f>
        <v>69</v>
      </c>
      <c r="F15" s="96">
        <f>4+1+2+3+5-1</f>
        <v>14</v>
      </c>
      <c r="G15" s="96"/>
      <c r="H15" s="96">
        <v>2</v>
      </c>
      <c r="I15" s="96">
        <f aca="true" t="shared" si="6" ref="I15:I21">E15+F15+G15</f>
        <v>83</v>
      </c>
      <c r="J15" s="96">
        <f>17+20+6+3+1+1-1-1-2+2</f>
        <v>46</v>
      </c>
      <c r="K15" s="96">
        <f>1+5+5+3-1-3-1-1-6</f>
        <v>2</v>
      </c>
      <c r="L15" s="96"/>
      <c r="M15" s="96"/>
      <c r="N15" s="96">
        <f aca="true" t="shared" si="7" ref="N15:N21">J15+K15+L15</f>
        <v>48</v>
      </c>
      <c r="O15" s="96">
        <f>11+5+23+3-1+6+1+6+2+2+1+1+1-2-4+2+2-1+1+1-1-1-1+1-1-2+1+6+5</f>
        <v>67</v>
      </c>
      <c r="P15" s="96">
        <f>6+8+3+1+1+1-2-3-1-1-1-1</f>
        <v>11</v>
      </c>
      <c r="Q15" s="96"/>
      <c r="R15" s="134"/>
      <c r="S15" s="96">
        <f aca="true" t="shared" si="8" ref="S15:S21">O15+P15+Q15</f>
        <v>78</v>
      </c>
      <c r="T15" s="96">
        <f>18+37+5+1+5+1+2+2+1-6-1-1+2+2+1+2+1+1-1-1-1+6-1-1-1-1+1-1+1-2-1-1+5-3</f>
        <v>71</v>
      </c>
      <c r="U15" s="96">
        <f>5+11+1+2+1-1-1-1</f>
        <v>17</v>
      </c>
      <c r="V15" s="96"/>
      <c r="W15" s="134"/>
      <c r="X15" s="96">
        <f aca="true" t="shared" si="9" ref="X15:X21">T15+U15+V15</f>
        <v>88</v>
      </c>
      <c r="Y15" s="102">
        <f aca="true" t="shared" si="10" ref="Y15:Y21">E15+J15+O15+T15</f>
        <v>253</v>
      </c>
      <c r="Z15" s="102">
        <f aca="true" t="shared" si="11" ref="Z15:Z21">F15+K15+P15+U15</f>
        <v>44</v>
      </c>
      <c r="AA15" s="102">
        <f aca="true" t="shared" si="12" ref="AA15:AA21">G15+L15+Q15+V15</f>
        <v>0</v>
      </c>
      <c r="AB15" s="102">
        <f t="shared" si="2"/>
        <v>2</v>
      </c>
      <c r="AC15" s="151">
        <f aca="true" t="shared" si="13" ref="AC15:AC21">Y15+Z15+AA15</f>
        <v>297</v>
      </c>
    </row>
    <row r="16" spans="1:29" ht="12.75">
      <c r="A16" s="60">
        <v>9</v>
      </c>
      <c r="B16" s="152" t="s">
        <v>120</v>
      </c>
      <c r="C16" s="137">
        <v>60110700</v>
      </c>
      <c r="D16" s="93" t="s">
        <v>111</v>
      </c>
      <c r="E16" s="96"/>
      <c r="F16" s="96"/>
      <c r="G16" s="96"/>
      <c r="H16" s="96"/>
      <c r="I16" s="96">
        <f t="shared" si="6"/>
        <v>0</v>
      </c>
      <c r="J16" s="96"/>
      <c r="K16" s="96"/>
      <c r="L16" s="96"/>
      <c r="M16" s="96"/>
      <c r="N16" s="96">
        <f t="shared" si="7"/>
        <v>0</v>
      </c>
      <c r="O16" s="96"/>
      <c r="P16" s="96"/>
      <c r="Q16" s="96"/>
      <c r="R16" s="96"/>
      <c r="S16" s="96">
        <f t="shared" si="8"/>
        <v>0</v>
      </c>
      <c r="T16" s="96">
        <f>1+10+29+4+1+6+1-11-1-1-1+1+1+1-1+2+1+2-2-1+1-1-1-2</f>
        <v>39</v>
      </c>
      <c r="U16" s="96">
        <f>6+5+11+4+1+1+1-1-2-1-2-1-1+2-1-1</f>
        <v>21</v>
      </c>
      <c r="V16" s="96">
        <f>2+6+1-2</f>
        <v>7</v>
      </c>
      <c r="W16" s="96"/>
      <c r="X16" s="96">
        <f t="shared" si="9"/>
        <v>67</v>
      </c>
      <c r="Y16" s="102">
        <f t="shared" si="10"/>
        <v>39</v>
      </c>
      <c r="Z16" s="102">
        <f t="shared" si="11"/>
        <v>21</v>
      </c>
      <c r="AA16" s="102">
        <f t="shared" si="12"/>
        <v>7</v>
      </c>
      <c r="AB16" s="102">
        <f t="shared" si="2"/>
        <v>0</v>
      </c>
      <c r="AC16" s="151">
        <f t="shared" si="13"/>
        <v>67</v>
      </c>
    </row>
    <row r="17" spans="1:29" ht="12.75">
      <c r="A17" s="60">
        <v>10</v>
      </c>
      <c r="B17" s="150" t="s">
        <v>89</v>
      </c>
      <c r="C17" s="137">
        <v>60531000</v>
      </c>
      <c r="D17" s="65" t="s">
        <v>97</v>
      </c>
      <c r="E17" s="99">
        <f>20+2+13+2+9+1+1</f>
        <v>48</v>
      </c>
      <c r="F17" s="99"/>
      <c r="G17" s="99"/>
      <c r="H17" s="99"/>
      <c r="I17" s="96">
        <f t="shared" si="6"/>
        <v>48</v>
      </c>
      <c r="J17" s="99">
        <f>11+5+1+7+1-1+1-1-2+2</f>
        <v>24</v>
      </c>
      <c r="K17" s="99"/>
      <c r="L17" s="99"/>
      <c r="M17" s="134"/>
      <c r="N17" s="96">
        <f t="shared" si="7"/>
        <v>24</v>
      </c>
      <c r="O17" s="99">
        <f>15+16+9+6+1+1+1+1+1-3-1+1-1-1-1-1-1-1-2+1</f>
        <v>41</v>
      </c>
      <c r="P17" s="99"/>
      <c r="Q17" s="99"/>
      <c r="R17" s="99"/>
      <c r="S17" s="99">
        <f t="shared" si="8"/>
        <v>41</v>
      </c>
      <c r="T17" s="99">
        <f>16+1+27+5+3+4-1+1+1-1+4-1+1-1-1-1+8-1-3+2-1-1+1-1-1-1+1-1</f>
        <v>59</v>
      </c>
      <c r="U17" s="99"/>
      <c r="V17" s="99"/>
      <c r="W17" s="99"/>
      <c r="X17" s="96">
        <f t="shared" si="9"/>
        <v>59</v>
      </c>
      <c r="Y17" s="102">
        <f t="shared" si="10"/>
        <v>172</v>
      </c>
      <c r="Z17" s="102">
        <f t="shared" si="11"/>
        <v>0</v>
      </c>
      <c r="AA17" s="102">
        <f t="shared" si="12"/>
        <v>0</v>
      </c>
      <c r="AB17" s="102">
        <f t="shared" si="2"/>
        <v>0</v>
      </c>
      <c r="AC17" s="153">
        <f t="shared" si="13"/>
        <v>172</v>
      </c>
    </row>
    <row r="18" spans="1:29" ht="12.75">
      <c r="A18" s="60">
        <v>11</v>
      </c>
      <c r="B18" s="150"/>
      <c r="C18" s="94">
        <v>60531200</v>
      </c>
      <c r="D18" s="93" t="s">
        <v>124</v>
      </c>
      <c r="E18" s="99">
        <f>15+2+3+9+2+3-1</f>
        <v>33</v>
      </c>
      <c r="F18" s="99"/>
      <c r="G18" s="99"/>
      <c r="H18" s="99">
        <v>2</v>
      </c>
      <c r="I18" s="96">
        <f t="shared" si="6"/>
        <v>33</v>
      </c>
      <c r="J18" s="99">
        <f>5+3+5+7-5</f>
        <v>15</v>
      </c>
      <c r="K18" s="99"/>
      <c r="L18" s="99"/>
      <c r="M18" s="99"/>
      <c r="N18" s="96">
        <f t="shared" si="7"/>
        <v>15</v>
      </c>
      <c r="O18" s="99"/>
      <c r="P18" s="99"/>
      <c r="Q18" s="99"/>
      <c r="R18" s="99"/>
      <c r="S18" s="99">
        <f t="shared" si="8"/>
        <v>0</v>
      </c>
      <c r="T18" s="99"/>
      <c r="U18" s="99"/>
      <c r="V18" s="99"/>
      <c r="W18" s="99"/>
      <c r="X18" s="96">
        <f t="shared" si="9"/>
        <v>0</v>
      </c>
      <c r="Y18" s="102">
        <f t="shared" si="10"/>
        <v>48</v>
      </c>
      <c r="Z18" s="102">
        <f t="shared" si="11"/>
        <v>0</v>
      </c>
      <c r="AA18" s="102">
        <f t="shared" si="12"/>
        <v>0</v>
      </c>
      <c r="AB18" s="102">
        <f t="shared" si="2"/>
        <v>2</v>
      </c>
      <c r="AC18" s="153">
        <f t="shared" si="13"/>
        <v>48</v>
      </c>
    </row>
    <row r="19" spans="1:29" ht="12.75">
      <c r="A19" s="60">
        <v>12</v>
      </c>
      <c r="B19" s="150"/>
      <c r="C19" s="94">
        <v>60711200</v>
      </c>
      <c r="D19" s="93" t="s">
        <v>125</v>
      </c>
      <c r="E19" s="99">
        <f>5+1+4+1+10+3</f>
        <v>24</v>
      </c>
      <c r="F19" s="99"/>
      <c r="G19" s="99"/>
      <c r="H19" s="98">
        <v>2</v>
      </c>
      <c r="I19" s="96">
        <f t="shared" si="6"/>
        <v>24</v>
      </c>
      <c r="J19" s="99">
        <f>9+5+2+2+1-1+8-2-7-1</f>
        <v>16</v>
      </c>
      <c r="K19" s="99"/>
      <c r="L19" s="99"/>
      <c r="M19" s="99"/>
      <c r="N19" s="96">
        <f t="shared" si="7"/>
        <v>16</v>
      </c>
      <c r="O19" s="99"/>
      <c r="P19" s="99"/>
      <c r="Q19" s="99"/>
      <c r="R19" s="99"/>
      <c r="S19" s="99">
        <f t="shared" si="8"/>
        <v>0</v>
      </c>
      <c r="T19" s="99"/>
      <c r="U19" s="99"/>
      <c r="V19" s="99"/>
      <c r="W19" s="99"/>
      <c r="X19" s="96">
        <f t="shared" si="9"/>
        <v>0</v>
      </c>
      <c r="Y19" s="102">
        <f t="shared" si="10"/>
        <v>40</v>
      </c>
      <c r="Z19" s="102">
        <f t="shared" si="11"/>
        <v>0</v>
      </c>
      <c r="AA19" s="102">
        <f t="shared" si="12"/>
        <v>0</v>
      </c>
      <c r="AB19" s="102">
        <f t="shared" si="2"/>
        <v>2</v>
      </c>
      <c r="AC19" s="153">
        <f t="shared" si="13"/>
        <v>40</v>
      </c>
    </row>
    <row r="20" spans="1:29" ht="22.5">
      <c r="A20" s="60">
        <v>13</v>
      </c>
      <c r="B20" s="150"/>
      <c r="C20" s="94">
        <v>60711600</v>
      </c>
      <c r="D20" s="93" t="s">
        <v>126</v>
      </c>
      <c r="E20" s="99">
        <f>9+2+12-1+9+2+1</f>
        <v>34</v>
      </c>
      <c r="F20" s="99"/>
      <c r="G20" s="99"/>
      <c r="H20" s="99"/>
      <c r="I20" s="96">
        <f t="shared" si="6"/>
        <v>34</v>
      </c>
      <c r="J20" s="99">
        <f>1+2+3-1-3</f>
        <v>2</v>
      </c>
      <c r="K20" s="99"/>
      <c r="L20" s="99"/>
      <c r="M20" s="99"/>
      <c r="N20" s="96">
        <f t="shared" si="7"/>
        <v>2</v>
      </c>
      <c r="O20" s="99"/>
      <c r="P20" s="99"/>
      <c r="Q20" s="99"/>
      <c r="R20" s="99"/>
      <c r="S20" s="99">
        <f t="shared" si="8"/>
        <v>0</v>
      </c>
      <c r="T20" s="99"/>
      <c r="U20" s="99"/>
      <c r="V20" s="99"/>
      <c r="W20" s="99"/>
      <c r="X20" s="96">
        <f t="shared" si="9"/>
        <v>0</v>
      </c>
      <c r="Y20" s="102">
        <f t="shared" si="10"/>
        <v>36</v>
      </c>
      <c r="Z20" s="102">
        <f t="shared" si="11"/>
        <v>0</v>
      </c>
      <c r="AA20" s="102">
        <f t="shared" si="12"/>
        <v>0</v>
      </c>
      <c r="AB20" s="102">
        <f t="shared" si="2"/>
        <v>0</v>
      </c>
      <c r="AC20" s="153">
        <f t="shared" si="13"/>
        <v>36</v>
      </c>
    </row>
    <row r="21" spans="1:29" ht="22.5">
      <c r="A21" s="60">
        <v>14</v>
      </c>
      <c r="B21" s="152"/>
      <c r="C21" s="94">
        <v>60720800</v>
      </c>
      <c r="D21" s="93" t="s">
        <v>127</v>
      </c>
      <c r="E21" s="96">
        <f>10+1+5+1+8+2+5</f>
        <v>32</v>
      </c>
      <c r="F21" s="96"/>
      <c r="G21" s="96"/>
      <c r="H21" s="99">
        <v>3</v>
      </c>
      <c r="I21" s="96">
        <f t="shared" si="6"/>
        <v>32</v>
      </c>
      <c r="J21" s="96">
        <f>6+9+3+9-1+2-1-1-1-2-1-8</f>
        <v>14</v>
      </c>
      <c r="K21" s="96"/>
      <c r="L21" s="96"/>
      <c r="M21" s="99"/>
      <c r="N21" s="96">
        <f t="shared" si="7"/>
        <v>14</v>
      </c>
      <c r="O21" s="99"/>
      <c r="P21" s="99"/>
      <c r="Q21" s="99"/>
      <c r="R21" s="99"/>
      <c r="S21" s="99">
        <f t="shared" si="8"/>
        <v>0</v>
      </c>
      <c r="T21" s="99"/>
      <c r="U21" s="99"/>
      <c r="V21" s="99"/>
      <c r="W21" s="99"/>
      <c r="X21" s="96">
        <f t="shared" si="9"/>
        <v>0</v>
      </c>
      <c r="Y21" s="102">
        <f t="shared" si="10"/>
        <v>46</v>
      </c>
      <c r="Z21" s="102">
        <f t="shared" si="11"/>
        <v>0</v>
      </c>
      <c r="AA21" s="102">
        <f t="shared" si="12"/>
        <v>0</v>
      </c>
      <c r="AB21" s="102">
        <f t="shared" si="2"/>
        <v>3</v>
      </c>
      <c r="AC21" s="153">
        <f t="shared" si="13"/>
        <v>46</v>
      </c>
    </row>
    <row r="22" spans="1:29" s="202" customFormat="1" ht="12.75">
      <c r="A22" s="199">
        <v>4</v>
      </c>
      <c r="B22" s="197"/>
      <c r="C22" s="198"/>
      <c r="D22" s="201" t="s">
        <v>31</v>
      </c>
      <c r="E22" s="198">
        <f>E23+E24+E25+E26+E27+E28+E29</f>
        <v>175</v>
      </c>
      <c r="F22" s="198">
        <f aca="true" t="shared" si="14" ref="F22:AC22">F23+F24+F25+F26+F27+F28+F29</f>
        <v>51</v>
      </c>
      <c r="G22" s="198">
        <f t="shared" si="14"/>
        <v>26</v>
      </c>
      <c r="H22" s="198">
        <f>H23+H24+H25+H26+H27+H28+H29</f>
        <v>2</v>
      </c>
      <c r="I22" s="198">
        <f t="shared" si="14"/>
        <v>252</v>
      </c>
      <c r="J22" s="198">
        <f>J23+J24+J25+J26+J27+J28+J29</f>
        <v>172</v>
      </c>
      <c r="K22" s="198">
        <f>K23+K24+K25+K26+K27+K28+K29</f>
        <v>66</v>
      </c>
      <c r="L22" s="198">
        <f>L23+L24+L25+L26+L27+L28+L29</f>
        <v>27</v>
      </c>
      <c r="M22" s="198">
        <f>M23+M24+M25+M26+M27+M28+M29</f>
        <v>0</v>
      </c>
      <c r="N22" s="198">
        <f t="shared" si="14"/>
        <v>265</v>
      </c>
      <c r="O22" s="198">
        <f>O23+O24+O25+O26+O27+O28+O29</f>
        <v>263</v>
      </c>
      <c r="P22" s="198">
        <f>P23+P24+P25+P26+P27+P28+P29</f>
        <v>152</v>
      </c>
      <c r="Q22" s="198">
        <f>Q23+Q24+Q25+Q26+Q27+Q28+Q29</f>
        <v>49</v>
      </c>
      <c r="R22" s="198">
        <f>R23+R24+R25+R26+R27+R28+R29</f>
        <v>4</v>
      </c>
      <c r="S22" s="198">
        <f t="shared" si="14"/>
        <v>464</v>
      </c>
      <c r="T22" s="198">
        <f>T23+T24+T25+T26+T27+T28+T29</f>
        <v>342</v>
      </c>
      <c r="U22" s="198">
        <f>U23+U24+U25+U26+U27+U28+U29</f>
        <v>432</v>
      </c>
      <c r="V22" s="198">
        <f>V23+V24+V25+V26+V27+V28+V29</f>
        <v>41</v>
      </c>
      <c r="W22" s="198">
        <f t="shared" si="14"/>
        <v>4</v>
      </c>
      <c r="X22" s="198">
        <f t="shared" si="14"/>
        <v>815</v>
      </c>
      <c r="Y22" s="198">
        <f t="shared" si="14"/>
        <v>952</v>
      </c>
      <c r="Z22" s="198">
        <f t="shared" si="14"/>
        <v>701</v>
      </c>
      <c r="AA22" s="198">
        <f t="shared" si="14"/>
        <v>143</v>
      </c>
      <c r="AB22" s="198">
        <f t="shared" si="14"/>
        <v>10</v>
      </c>
      <c r="AC22" s="198">
        <f t="shared" si="14"/>
        <v>1796</v>
      </c>
    </row>
    <row r="23" spans="1:29" ht="12.75">
      <c r="A23" s="60">
        <v>15</v>
      </c>
      <c r="B23" s="150" t="s">
        <v>72</v>
      </c>
      <c r="C23" s="136">
        <v>60230100</v>
      </c>
      <c r="D23" s="52" t="s">
        <v>65</v>
      </c>
      <c r="E23" s="102"/>
      <c r="F23" s="102"/>
      <c r="G23" s="96">
        <f>5+2+6+1+8+2+2</f>
        <v>26</v>
      </c>
      <c r="H23" s="96"/>
      <c r="I23" s="96">
        <f aca="true" t="shared" si="15" ref="I23:I29">E23+F23+G23</f>
        <v>26</v>
      </c>
      <c r="J23" s="102"/>
      <c r="K23" s="102"/>
      <c r="L23" s="96">
        <f>11+13+6+2+1-1-3-2</f>
        <v>27</v>
      </c>
      <c r="M23" s="96"/>
      <c r="N23" s="96">
        <f aca="true" t="shared" si="16" ref="N23:N29">J23+K23+L23</f>
        <v>27</v>
      </c>
      <c r="O23" s="102"/>
      <c r="P23" s="102"/>
      <c r="Q23" s="96">
        <f>13+15+9+10+3+3+2+2+1+2-1-1-2-2+1-1-1-4</f>
        <v>49</v>
      </c>
      <c r="R23" s="96"/>
      <c r="S23" s="96">
        <f aca="true" t="shared" si="17" ref="S23:S28">O23+P23+Q23</f>
        <v>49</v>
      </c>
      <c r="T23" s="102"/>
      <c r="U23" s="102"/>
      <c r="V23" s="96">
        <f>10+30+13+1-10-1+1-1-2</f>
        <v>41</v>
      </c>
      <c r="W23" s="96"/>
      <c r="X23" s="96">
        <f aca="true" t="shared" si="18" ref="X23:X29">T23+U23+V23</f>
        <v>41</v>
      </c>
      <c r="Y23" s="102">
        <f aca="true" t="shared" si="19" ref="Y23:AA29">E23+J23+O23+T23</f>
        <v>0</v>
      </c>
      <c r="Z23" s="102">
        <f t="shared" si="19"/>
        <v>0</v>
      </c>
      <c r="AA23" s="102">
        <f t="shared" si="19"/>
        <v>143</v>
      </c>
      <c r="AB23" s="102">
        <f t="shared" si="2"/>
        <v>0</v>
      </c>
      <c r="AC23" s="151">
        <f aca="true" t="shared" si="20" ref="AC23:AC29">Y23+Z23+AA23</f>
        <v>143</v>
      </c>
    </row>
    <row r="24" spans="1:29" s="74" customFormat="1" ht="12.75">
      <c r="A24" s="60">
        <v>16</v>
      </c>
      <c r="B24" s="150" t="s">
        <v>72</v>
      </c>
      <c r="C24" s="136">
        <v>60230100</v>
      </c>
      <c r="D24" s="52" t="s">
        <v>66</v>
      </c>
      <c r="E24" s="103">
        <f>37+19+15+4+19+10+12</f>
        <v>116</v>
      </c>
      <c r="F24" s="103"/>
      <c r="G24" s="103"/>
      <c r="H24" s="103"/>
      <c r="I24" s="103">
        <f t="shared" si="15"/>
        <v>116</v>
      </c>
      <c r="J24" s="103">
        <f>55+34+8-1+40+9+3+3+1+1+2-1-1+1-1</f>
        <v>153</v>
      </c>
      <c r="K24" s="103"/>
      <c r="L24" s="103"/>
      <c r="M24" s="157"/>
      <c r="N24" s="103">
        <f t="shared" si="16"/>
        <v>153</v>
      </c>
      <c r="O24" s="103">
        <f>61+2+1+2+9+3+4+1+23+15+1+30+11+22+26+12+5+2+1+8+1-1-1-1-5-1-2+8+1+1-1-2+4-1-1+1</f>
        <v>239</v>
      </c>
      <c r="P24" s="103"/>
      <c r="Q24" s="103"/>
      <c r="R24" s="157">
        <v>1</v>
      </c>
      <c r="S24" s="103">
        <f t="shared" si="17"/>
        <v>239</v>
      </c>
      <c r="T24" s="103">
        <f>1+55+4+94+22+19+1+14+4+4+1+2+1-1-10-1+1-2-1+1+2-1+4+5-1-1+6+2-2-3-1-1-1+3-1+2-2-1+2-1+5-2-5+4-1-1-1-1-1+3-1-1</f>
        <v>217</v>
      </c>
      <c r="U24" s="103"/>
      <c r="V24" s="103"/>
      <c r="W24" s="157"/>
      <c r="X24" s="103">
        <f t="shared" si="18"/>
        <v>217</v>
      </c>
      <c r="Y24" s="138">
        <f t="shared" si="19"/>
        <v>725</v>
      </c>
      <c r="Z24" s="138">
        <f t="shared" si="19"/>
        <v>0</v>
      </c>
      <c r="AA24" s="138">
        <f t="shared" si="19"/>
        <v>0</v>
      </c>
      <c r="AB24" s="102">
        <f t="shared" si="2"/>
        <v>1</v>
      </c>
      <c r="AC24" s="151">
        <f t="shared" si="20"/>
        <v>725</v>
      </c>
    </row>
    <row r="25" spans="1:29" s="74" customFormat="1" ht="12.75">
      <c r="A25" s="60">
        <v>17</v>
      </c>
      <c r="B25" s="155" t="s">
        <v>114</v>
      </c>
      <c r="C25" s="136">
        <v>60230600</v>
      </c>
      <c r="D25" s="52" t="s">
        <v>102</v>
      </c>
      <c r="E25" s="103"/>
      <c r="F25" s="103"/>
      <c r="G25" s="103"/>
      <c r="H25" s="103"/>
      <c r="I25" s="103">
        <f t="shared" si="15"/>
        <v>0</v>
      </c>
      <c r="J25" s="103">
        <f>6+4+2+7+1-1</f>
        <v>19</v>
      </c>
      <c r="K25" s="103"/>
      <c r="L25" s="103"/>
      <c r="M25" s="158"/>
      <c r="N25" s="103">
        <f t="shared" si="16"/>
        <v>19</v>
      </c>
      <c r="O25" s="103">
        <f>5+4+2+6+3+3+3+2+1+1-1-3+1-1-2</f>
        <v>24</v>
      </c>
      <c r="P25" s="103"/>
      <c r="Q25" s="103"/>
      <c r="R25" s="103"/>
      <c r="S25" s="103">
        <f t="shared" si="17"/>
        <v>24</v>
      </c>
      <c r="T25" s="103">
        <f>5+12+7+1+3+1+1-1-1-4-2-1-1</f>
        <v>20</v>
      </c>
      <c r="U25" s="103"/>
      <c r="V25" s="103"/>
      <c r="W25" s="103"/>
      <c r="X25" s="103">
        <f t="shared" si="18"/>
        <v>20</v>
      </c>
      <c r="Y25" s="138">
        <f t="shared" si="19"/>
        <v>63</v>
      </c>
      <c r="Z25" s="138">
        <f t="shared" si="19"/>
        <v>0</v>
      </c>
      <c r="AA25" s="138">
        <f t="shared" si="19"/>
        <v>0</v>
      </c>
      <c r="AB25" s="102">
        <f t="shared" si="2"/>
        <v>0</v>
      </c>
      <c r="AC25" s="151">
        <f t="shared" si="20"/>
        <v>63</v>
      </c>
    </row>
    <row r="26" spans="1:29" s="74" customFormat="1" ht="12.75">
      <c r="A26" s="60">
        <v>18</v>
      </c>
      <c r="B26" s="150" t="s">
        <v>72</v>
      </c>
      <c r="C26" s="136">
        <v>60230100</v>
      </c>
      <c r="D26" s="52" t="s">
        <v>67</v>
      </c>
      <c r="E26" s="102"/>
      <c r="F26" s="96">
        <f>10+9+3+7+5+16+1</f>
        <v>51</v>
      </c>
      <c r="G26" s="96"/>
      <c r="H26" s="96">
        <v>2</v>
      </c>
      <c r="I26" s="96">
        <f t="shared" si="15"/>
        <v>51</v>
      </c>
      <c r="J26" s="102"/>
      <c r="K26" s="96">
        <f>15+33+3+4+5+1+1+1+1-1+1+1+1-1-3+2+2</f>
        <v>66</v>
      </c>
      <c r="L26" s="96"/>
      <c r="M26" s="96"/>
      <c r="N26" s="96">
        <f t="shared" si="16"/>
        <v>66</v>
      </c>
      <c r="O26" s="102"/>
      <c r="P26" s="96">
        <f>25+4+3-1+78+9+4-1+5+10-1+1+18+2+1+2+3+1+1+2+4-1+2-1+1-2-1-1-1-4-3+1+2-2-1+1-1+1+1+1-1-1+1-1-1-1-1-1-3-1-3-2+4-1-1+1+1+1</f>
        <v>152</v>
      </c>
      <c r="Q26" s="96"/>
      <c r="R26" s="96">
        <v>2</v>
      </c>
      <c r="S26" s="96">
        <f t="shared" si="17"/>
        <v>152</v>
      </c>
      <c r="T26" s="102"/>
      <c r="U26" s="96">
        <f>1+2+24+1+92+1+17+12+1+13-1+2+2+1+1+3-16-1-6+10+15-2-1+2+17-1+2+1-1+1-4+6+1-1-1+1+1+1-1+20+5-1-1-1-1-1+1-6-1-1-1+1+1-1+1-1+2-1-1-1-1-2-2-5+1</f>
        <v>198</v>
      </c>
      <c r="V26" s="96"/>
      <c r="W26" s="96">
        <v>1</v>
      </c>
      <c r="X26" s="96">
        <f t="shared" si="18"/>
        <v>198</v>
      </c>
      <c r="Y26" s="102">
        <f t="shared" si="19"/>
        <v>0</v>
      </c>
      <c r="Z26" s="102">
        <f t="shared" si="19"/>
        <v>467</v>
      </c>
      <c r="AA26" s="102">
        <f t="shared" si="19"/>
        <v>0</v>
      </c>
      <c r="AB26" s="102">
        <f t="shared" si="2"/>
        <v>5</v>
      </c>
      <c r="AC26" s="151">
        <f t="shared" si="20"/>
        <v>467</v>
      </c>
    </row>
    <row r="27" spans="1:29" s="74" customFormat="1" ht="12.75">
      <c r="A27" s="60">
        <v>19</v>
      </c>
      <c r="B27" s="150" t="s">
        <v>72</v>
      </c>
      <c r="C27" s="138">
        <v>60230100</v>
      </c>
      <c r="D27" s="52" t="s">
        <v>138</v>
      </c>
      <c r="E27" s="105">
        <f>23+2+11+8+15</f>
        <v>59</v>
      </c>
      <c r="F27" s="99"/>
      <c r="G27" s="99"/>
      <c r="H27" s="99"/>
      <c r="I27" s="96">
        <f t="shared" si="15"/>
        <v>59</v>
      </c>
      <c r="J27" s="105"/>
      <c r="K27" s="99"/>
      <c r="L27" s="99"/>
      <c r="M27" s="96"/>
      <c r="N27" s="96">
        <f t="shared" si="16"/>
        <v>0</v>
      </c>
      <c r="O27" s="105"/>
      <c r="P27" s="99"/>
      <c r="Q27" s="99"/>
      <c r="R27" s="96"/>
      <c r="S27" s="96">
        <f t="shared" si="17"/>
        <v>0</v>
      </c>
      <c r="T27" s="105"/>
      <c r="U27" s="99"/>
      <c r="V27" s="96"/>
      <c r="W27" s="96"/>
      <c r="X27" s="96">
        <f t="shared" si="18"/>
        <v>0</v>
      </c>
      <c r="Y27" s="102">
        <f t="shared" si="19"/>
        <v>59</v>
      </c>
      <c r="Z27" s="102">
        <f t="shared" si="19"/>
        <v>0</v>
      </c>
      <c r="AA27" s="102">
        <f t="shared" si="19"/>
        <v>0</v>
      </c>
      <c r="AB27" s="102">
        <f t="shared" si="2"/>
        <v>0</v>
      </c>
      <c r="AC27" s="151">
        <f t="shared" si="20"/>
        <v>59</v>
      </c>
    </row>
    <row r="28" spans="1:29" s="74" customFormat="1" ht="12.75">
      <c r="A28" s="60">
        <v>20</v>
      </c>
      <c r="B28" s="152" t="s">
        <v>120</v>
      </c>
      <c r="C28" s="138">
        <v>60111800</v>
      </c>
      <c r="D28" s="65" t="s">
        <v>79</v>
      </c>
      <c r="E28" s="105"/>
      <c r="F28" s="99"/>
      <c r="G28" s="96"/>
      <c r="H28" s="206"/>
      <c r="I28" s="96">
        <f t="shared" si="15"/>
        <v>0</v>
      </c>
      <c r="J28" s="105"/>
      <c r="K28" s="99"/>
      <c r="L28" s="96"/>
      <c r="M28" s="96"/>
      <c r="N28" s="96">
        <f t="shared" si="16"/>
        <v>0</v>
      </c>
      <c r="O28" s="105"/>
      <c r="P28" s="99"/>
      <c r="Q28" s="96"/>
      <c r="R28" s="96">
        <v>1</v>
      </c>
      <c r="S28" s="96">
        <f t="shared" si="17"/>
        <v>0</v>
      </c>
      <c r="T28" s="105">
        <f>1+14+40+4+6+52+4+1+1-20-1-1+4+5-1-1+7+1+1+2+1-1-1+1-2-1-1-1-2-1-1-3-1-1</f>
        <v>105</v>
      </c>
      <c r="U28" s="99"/>
      <c r="V28" s="96"/>
      <c r="W28" s="96"/>
      <c r="X28" s="96">
        <f t="shared" si="18"/>
        <v>105</v>
      </c>
      <c r="Y28" s="102">
        <f t="shared" si="19"/>
        <v>105</v>
      </c>
      <c r="Z28" s="102">
        <f t="shared" si="19"/>
        <v>0</v>
      </c>
      <c r="AA28" s="102">
        <f t="shared" si="19"/>
        <v>0</v>
      </c>
      <c r="AB28" s="102">
        <f t="shared" si="2"/>
        <v>1</v>
      </c>
      <c r="AC28" s="151">
        <f t="shared" si="20"/>
        <v>105</v>
      </c>
    </row>
    <row r="29" spans="1:29" s="74" customFormat="1" ht="12.75">
      <c r="A29" s="60">
        <v>21</v>
      </c>
      <c r="B29" s="150" t="s">
        <v>72</v>
      </c>
      <c r="C29" s="138">
        <v>60111700</v>
      </c>
      <c r="D29" s="93" t="s">
        <v>103</v>
      </c>
      <c r="E29" s="105"/>
      <c r="F29" s="99"/>
      <c r="G29" s="96"/>
      <c r="H29" s="207"/>
      <c r="I29" s="96">
        <f t="shared" si="15"/>
        <v>0</v>
      </c>
      <c r="J29" s="105"/>
      <c r="K29" s="99"/>
      <c r="L29" s="96"/>
      <c r="M29" s="159"/>
      <c r="N29" s="96">
        <f t="shared" si="16"/>
        <v>0</v>
      </c>
      <c r="O29" s="105"/>
      <c r="P29" s="99"/>
      <c r="Q29" s="96"/>
      <c r="R29" s="96"/>
      <c r="S29" s="96">
        <f>O29+P29+Q29</f>
        <v>0</v>
      </c>
      <c r="T29" s="105"/>
      <c r="U29" s="105">
        <f>28+1+4+73+15+1+18+1+20-1+8+1+6+2+2-1-2-5+11+24+5+16+1+1+1-1+2+1+1-1-1+1+12-3-1+1+1-1-1+1+1-2-1-2+2+1-1-1-1+2-2-1-1-1</f>
        <v>234</v>
      </c>
      <c r="V29" s="96"/>
      <c r="W29" s="96">
        <v>3</v>
      </c>
      <c r="X29" s="96">
        <f t="shared" si="18"/>
        <v>234</v>
      </c>
      <c r="Y29" s="102">
        <f t="shared" si="19"/>
        <v>0</v>
      </c>
      <c r="Z29" s="102">
        <f t="shared" si="19"/>
        <v>234</v>
      </c>
      <c r="AA29" s="102">
        <f t="shared" si="19"/>
        <v>0</v>
      </c>
      <c r="AB29" s="102">
        <f t="shared" si="2"/>
        <v>3</v>
      </c>
      <c r="AC29" s="151">
        <f t="shared" si="20"/>
        <v>234</v>
      </c>
    </row>
    <row r="30" spans="1:29" s="194" customFormat="1" ht="12.75">
      <c r="A30" s="199">
        <v>5</v>
      </c>
      <c r="B30" s="197"/>
      <c r="C30" s="198"/>
      <c r="D30" s="195" t="s">
        <v>140</v>
      </c>
      <c r="E30" s="198">
        <f>+E31+E32+E33+E34+E35+E36+E37</f>
        <v>269</v>
      </c>
      <c r="F30" s="198">
        <f aca="true" t="shared" si="21" ref="F30:AC30">+F31+F32+F33+F34+F35+F36+F37</f>
        <v>23</v>
      </c>
      <c r="G30" s="198">
        <f t="shared" si="21"/>
        <v>0</v>
      </c>
      <c r="H30" s="198">
        <f>+H31+H32+H33+H34+H35+H36+H37</f>
        <v>2</v>
      </c>
      <c r="I30" s="198">
        <f t="shared" si="21"/>
        <v>292</v>
      </c>
      <c r="J30" s="198">
        <f t="shared" si="21"/>
        <v>285</v>
      </c>
      <c r="K30" s="198">
        <f t="shared" si="21"/>
        <v>37</v>
      </c>
      <c r="L30" s="198">
        <f t="shared" si="21"/>
        <v>0</v>
      </c>
      <c r="M30" s="198">
        <f>+M31+M32+M33+M34+M35+M36+M37</f>
        <v>3</v>
      </c>
      <c r="N30" s="198">
        <f t="shared" si="21"/>
        <v>322</v>
      </c>
      <c r="O30" s="198">
        <f t="shared" si="21"/>
        <v>332</v>
      </c>
      <c r="P30" s="198">
        <f t="shared" si="21"/>
        <v>59</v>
      </c>
      <c r="Q30" s="198">
        <f t="shared" si="21"/>
        <v>0</v>
      </c>
      <c r="R30" s="198">
        <f>+R31+R32+R33+R34+R35+R36+R37</f>
        <v>0</v>
      </c>
      <c r="S30" s="198">
        <f t="shared" si="21"/>
        <v>391</v>
      </c>
      <c r="T30" s="198">
        <f t="shared" si="21"/>
        <v>567</v>
      </c>
      <c r="U30" s="198">
        <f t="shared" si="21"/>
        <v>77</v>
      </c>
      <c r="V30" s="198">
        <f t="shared" si="21"/>
        <v>36</v>
      </c>
      <c r="W30" s="198">
        <f t="shared" si="21"/>
        <v>0</v>
      </c>
      <c r="X30" s="198">
        <f t="shared" si="21"/>
        <v>680</v>
      </c>
      <c r="Y30" s="198">
        <f t="shared" si="21"/>
        <v>1453</v>
      </c>
      <c r="Z30" s="198">
        <f t="shared" si="21"/>
        <v>196</v>
      </c>
      <c r="AA30" s="198">
        <f t="shared" si="21"/>
        <v>36</v>
      </c>
      <c r="AB30" s="198">
        <f t="shared" si="21"/>
        <v>5</v>
      </c>
      <c r="AC30" s="198">
        <f t="shared" si="21"/>
        <v>1685</v>
      </c>
    </row>
    <row r="31" spans="1:29" ht="12.75">
      <c r="A31" s="60">
        <v>22</v>
      </c>
      <c r="B31" s="150" t="s">
        <v>73</v>
      </c>
      <c r="C31" s="136">
        <v>60510100</v>
      </c>
      <c r="D31" s="69" t="s">
        <v>53</v>
      </c>
      <c r="E31" s="96">
        <f>1+46+16+2+11+9+16+12+2-2</f>
        <v>113</v>
      </c>
      <c r="F31" s="96">
        <f>5+2+4+2+4-2</f>
        <v>15</v>
      </c>
      <c r="G31" s="96"/>
      <c r="H31" s="96"/>
      <c r="I31" s="96">
        <f aca="true" t="shared" si="22" ref="I31:I37">E31+F31+G31</f>
        <v>128</v>
      </c>
      <c r="J31" s="96">
        <f>25+70+21+15+2+6-1+9-1+1+2-1-2-1+1-2+1+1-1-2-1-1-2-2-1-1+2+1-1</f>
        <v>137</v>
      </c>
      <c r="K31" s="96">
        <f>5+16+2-1+5+1+1+1-1-1</f>
        <v>28</v>
      </c>
      <c r="L31" s="96"/>
      <c r="M31" s="96"/>
      <c r="N31" s="96">
        <f aca="true" t="shared" si="23" ref="N31:N37">J31+K31+L31</f>
        <v>165</v>
      </c>
      <c r="O31" s="96">
        <f>22+3+4+1+3+5+23-1+19-1-1+23+1+4+2+6+1+1-1+1+1-1-6-4+9+1+2+1+2+2+1-1+1+1+3+1+3-1-1+1+1-1-1+5+1+6+2+2</f>
        <v>145</v>
      </c>
      <c r="P31" s="96">
        <f>5+4+3+4+3+2+2+1-1-3</f>
        <v>20</v>
      </c>
      <c r="Q31" s="96"/>
      <c r="R31" s="96"/>
      <c r="S31" s="96">
        <f aca="true" t="shared" si="24" ref="S31:S37">O31+P31+Q31</f>
        <v>165</v>
      </c>
      <c r="T31" s="96">
        <f>1+1+21+31+9+7+50+3-1+2+1-1-1+1-3-1+2+7+2-2+5-1-1+6+1+3+8+2+1+1+1-1-1+5-1-1+2-2-1+4-1+9+5+2-1-1-8-1+1+1-2-2-1</f>
        <v>160</v>
      </c>
      <c r="U31" s="96">
        <f>5+9+1+14-2-1+1-1+8-1-1</f>
        <v>32</v>
      </c>
      <c r="V31" s="96"/>
      <c r="W31" s="96"/>
      <c r="X31" s="96">
        <f aca="true" t="shared" si="25" ref="X31:X37">T31+U31+V31</f>
        <v>192</v>
      </c>
      <c r="Y31" s="102">
        <f aca="true" t="shared" si="26" ref="Y31:AA33">E31+J31+O31+T31</f>
        <v>555</v>
      </c>
      <c r="Z31" s="102">
        <f t="shared" si="26"/>
        <v>95</v>
      </c>
      <c r="AA31" s="102">
        <f t="shared" si="26"/>
        <v>0</v>
      </c>
      <c r="AB31" s="102">
        <f t="shared" si="2"/>
        <v>0</v>
      </c>
      <c r="AC31" s="151">
        <f aca="true" t="shared" si="27" ref="AC31:AC37">Y31+Z31+AA31</f>
        <v>650</v>
      </c>
    </row>
    <row r="32" spans="1:29" ht="12.75">
      <c r="A32" s="60">
        <v>23</v>
      </c>
      <c r="B32" s="150" t="s">
        <v>73</v>
      </c>
      <c r="C32" s="136">
        <v>60710200</v>
      </c>
      <c r="D32" s="52" t="s">
        <v>55</v>
      </c>
      <c r="E32" s="96">
        <f>20+3+6+1+9+3+5-5</f>
        <v>42</v>
      </c>
      <c r="F32" s="96"/>
      <c r="G32" s="96"/>
      <c r="H32" s="96"/>
      <c r="I32" s="96">
        <f t="shared" si="22"/>
        <v>42</v>
      </c>
      <c r="J32" s="96">
        <f>19+19+8-5+9-2+3+1+3-1-1-3-1-3</f>
        <v>46</v>
      </c>
      <c r="K32" s="96"/>
      <c r="L32" s="96"/>
      <c r="M32" s="96"/>
      <c r="N32" s="96">
        <f t="shared" si="23"/>
        <v>46</v>
      </c>
      <c r="O32" s="96">
        <f>16+6+3+21-1+4+1+4+1-1+1+1+1-1+1+1-1+1-3-4+2+1-1+1+1+1-1-1-1-1-1+1</f>
        <v>52</v>
      </c>
      <c r="P32" s="96"/>
      <c r="Q32" s="96"/>
      <c r="R32" s="96"/>
      <c r="S32" s="96">
        <f t="shared" si="24"/>
        <v>52</v>
      </c>
      <c r="T32" s="96">
        <f>5+10+26+9+16+1+1-1+1-2-1-1-7+6+2+2+5+1+1+2-1-1-1-4-1+1-1+2-1-1-1-1+1</f>
        <v>67</v>
      </c>
      <c r="U32" s="96"/>
      <c r="V32" s="96"/>
      <c r="W32" s="96"/>
      <c r="X32" s="96">
        <f t="shared" si="25"/>
        <v>67</v>
      </c>
      <c r="Y32" s="102">
        <f t="shared" si="26"/>
        <v>207</v>
      </c>
      <c r="Z32" s="102">
        <f t="shared" si="26"/>
        <v>0</v>
      </c>
      <c r="AA32" s="102">
        <f t="shared" si="26"/>
        <v>0</v>
      </c>
      <c r="AB32" s="102">
        <f t="shared" si="2"/>
        <v>0</v>
      </c>
      <c r="AC32" s="151">
        <f t="shared" si="27"/>
        <v>207</v>
      </c>
    </row>
    <row r="33" spans="1:29" ht="12.75">
      <c r="A33" s="60">
        <v>24</v>
      </c>
      <c r="B33" s="152" t="s">
        <v>120</v>
      </c>
      <c r="C33" s="137">
        <v>60110900</v>
      </c>
      <c r="D33" s="93" t="s">
        <v>16</v>
      </c>
      <c r="E33" s="99"/>
      <c r="F33" s="99"/>
      <c r="G33" s="99"/>
      <c r="H33" s="99"/>
      <c r="I33" s="99">
        <f t="shared" si="22"/>
        <v>0</v>
      </c>
      <c r="J33" s="99"/>
      <c r="K33" s="99"/>
      <c r="L33" s="99"/>
      <c r="M33" s="99"/>
      <c r="N33" s="99">
        <f t="shared" si="23"/>
        <v>0</v>
      </c>
      <c r="O33" s="99"/>
      <c r="P33" s="99"/>
      <c r="Q33" s="99"/>
      <c r="R33" s="96"/>
      <c r="S33" s="96">
        <f t="shared" si="24"/>
        <v>0</v>
      </c>
      <c r="T33" s="99">
        <f>17+25-1+5+8+2+47-3+7-1-1-1+1-1-5-1-1-1-1-1+2+4-1+3-3-1+7+1+1+2-2-1+1+1-1+1-2+1+1-2-1+5+1-2+1-1+2-1-1-1-1+1+1</f>
        <v>109</v>
      </c>
      <c r="U33" s="99">
        <f>5+1+10+3+8+3-1-1-2-1-1-1-3</f>
        <v>20</v>
      </c>
      <c r="V33" s="99">
        <f>4+14+2+2-1+1</f>
        <v>22</v>
      </c>
      <c r="W33" s="96"/>
      <c r="X33" s="96">
        <f t="shared" si="25"/>
        <v>151</v>
      </c>
      <c r="Y33" s="102">
        <f t="shared" si="26"/>
        <v>109</v>
      </c>
      <c r="Z33" s="102">
        <f t="shared" si="26"/>
        <v>20</v>
      </c>
      <c r="AA33" s="102">
        <f t="shared" si="26"/>
        <v>22</v>
      </c>
      <c r="AB33" s="102">
        <f t="shared" si="2"/>
        <v>0</v>
      </c>
      <c r="AC33" s="151">
        <f t="shared" si="27"/>
        <v>151</v>
      </c>
    </row>
    <row r="34" spans="1:29" ht="12.75">
      <c r="A34" s="60">
        <v>25</v>
      </c>
      <c r="B34" s="150" t="s">
        <v>89</v>
      </c>
      <c r="C34" s="136">
        <v>60530100</v>
      </c>
      <c r="D34" s="52" t="s">
        <v>116</v>
      </c>
      <c r="E34" s="96">
        <f>31+5+12+11+3+3-2</f>
        <v>63</v>
      </c>
      <c r="F34" s="96">
        <f>2+1+1+2+1+1</f>
        <v>8</v>
      </c>
      <c r="G34" s="96"/>
      <c r="H34" s="96"/>
      <c r="I34" s="96">
        <f t="shared" si="22"/>
        <v>71</v>
      </c>
      <c r="J34" s="96">
        <f>18+7+8+10+3-1+1+2-1+1+1</f>
        <v>49</v>
      </c>
      <c r="K34" s="96">
        <f>3+4+2+5+1+1+1-1-1-2-1-3</f>
        <v>9</v>
      </c>
      <c r="L34" s="96"/>
      <c r="M34" s="133">
        <v>1</v>
      </c>
      <c r="N34" s="96">
        <f t="shared" si="23"/>
        <v>58</v>
      </c>
      <c r="O34" s="96">
        <f>4+8+8+20+15+5+1+3+1+1+1+1-1+1-1+1-4+1+4-1+3-1+1-3+3+1+1-2-1-1+1+8-1+1</f>
        <v>78</v>
      </c>
      <c r="P34" s="96">
        <f>4+1+11+1+1-1+3-2-1-1</f>
        <v>16</v>
      </c>
      <c r="Q34" s="96"/>
      <c r="R34" s="96"/>
      <c r="S34" s="96">
        <f t="shared" si="24"/>
        <v>94</v>
      </c>
      <c r="T34" s="96">
        <f>8-1+20+53+3+1+3-1+4+3-3-1-1-1+1+1+2-1+2-1-1+5+1-4-1-1-1+2+1-1-1-1-1-1-1+4+3-3-1</f>
        <v>89</v>
      </c>
      <c r="U34" s="96"/>
      <c r="V34" s="96"/>
      <c r="W34" s="96"/>
      <c r="X34" s="99">
        <f t="shared" si="25"/>
        <v>89</v>
      </c>
      <c r="Y34" s="102">
        <f aca="true" t="shared" si="28" ref="Y34:AA37">E34+J34+O34+T34</f>
        <v>279</v>
      </c>
      <c r="Z34" s="102">
        <f t="shared" si="28"/>
        <v>33</v>
      </c>
      <c r="AA34" s="102">
        <f t="shared" si="28"/>
        <v>0</v>
      </c>
      <c r="AB34" s="102">
        <f t="shared" si="2"/>
        <v>1</v>
      </c>
      <c r="AC34" s="151">
        <f t="shared" si="27"/>
        <v>312</v>
      </c>
    </row>
    <row r="35" spans="1:29" ht="12.75">
      <c r="A35" s="60">
        <v>26</v>
      </c>
      <c r="B35" s="150" t="s">
        <v>89</v>
      </c>
      <c r="C35" s="136">
        <v>60710100</v>
      </c>
      <c r="D35" s="52" t="s">
        <v>70</v>
      </c>
      <c r="E35" s="96">
        <f>22+1+7+16+1+1+2+1</f>
        <v>51</v>
      </c>
      <c r="F35" s="96"/>
      <c r="G35" s="96"/>
      <c r="H35" s="96"/>
      <c r="I35" s="96">
        <f t="shared" si="22"/>
        <v>51</v>
      </c>
      <c r="J35" s="96">
        <f>15+6+9+13+2-1+1+1-1+1-1-1-3+2-1-1</f>
        <v>41</v>
      </c>
      <c r="K35" s="96"/>
      <c r="L35" s="96"/>
      <c r="M35" s="133">
        <v>2</v>
      </c>
      <c r="N35" s="96">
        <f t="shared" si="23"/>
        <v>41</v>
      </c>
      <c r="O35" s="96">
        <f>11+19+14+1+7+1+1+3+1+1+1+1+2-1+1-1-1-3-1+3+1-1+1-3-1+1+1-1-1+1+1-4+3-1</f>
        <v>57</v>
      </c>
      <c r="P35" s="96">
        <f>4+7+5+2+7+1+1-1-1-1-1+3-1+1-2-1</f>
        <v>23</v>
      </c>
      <c r="Q35" s="96"/>
      <c r="R35" s="96"/>
      <c r="S35" s="96">
        <f t="shared" si="24"/>
        <v>80</v>
      </c>
      <c r="T35" s="96">
        <f>11-1+10+12+40+8+2+9-2-1+2-1-3+2+2-1-1-13-2+7+4+1-1+1-1+3-1+1-1+1-1+1-3-1+1+1-1+9-1-1+1-2</f>
        <v>90</v>
      </c>
      <c r="U35" s="96">
        <f>6+4+7+6+3+1-1-1-3-1-9-1</f>
        <v>11</v>
      </c>
      <c r="V35" s="96"/>
      <c r="W35" s="96"/>
      <c r="X35" s="96">
        <f t="shared" si="25"/>
        <v>101</v>
      </c>
      <c r="Y35" s="102">
        <f t="shared" si="28"/>
        <v>239</v>
      </c>
      <c r="Z35" s="102">
        <f t="shared" si="28"/>
        <v>34</v>
      </c>
      <c r="AA35" s="102">
        <f t="shared" si="28"/>
        <v>0</v>
      </c>
      <c r="AB35" s="102">
        <f t="shared" si="2"/>
        <v>2</v>
      </c>
      <c r="AC35" s="151">
        <f t="shared" si="27"/>
        <v>273</v>
      </c>
    </row>
    <row r="36" spans="1:29" ht="22.5">
      <c r="A36" s="60">
        <v>27</v>
      </c>
      <c r="B36" s="155" t="s">
        <v>92</v>
      </c>
      <c r="C36" s="136">
        <v>60720600</v>
      </c>
      <c r="D36" s="52" t="s">
        <v>69</v>
      </c>
      <c r="E36" s="96"/>
      <c r="F36" s="96"/>
      <c r="G36" s="96"/>
      <c r="H36" s="96">
        <v>2</v>
      </c>
      <c r="I36" s="96">
        <f t="shared" si="22"/>
        <v>0</v>
      </c>
      <c r="J36" s="96">
        <f>5+2+1+8+1-1+1+1-1-1-2-2</f>
        <v>12</v>
      </c>
      <c r="K36" s="96"/>
      <c r="L36" s="96"/>
      <c r="M36" s="134"/>
      <c r="N36" s="96">
        <f t="shared" si="23"/>
        <v>12</v>
      </c>
      <c r="O36" s="96"/>
      <c r="P36" s="96"/>
      <c r="Q36" s="96"/>
      <c r="R36" s="96"/>
      <c r="S36" s="96">
        <f t="shared" si="24"/>
        <v>0</v>
      </c>
      <c r="T36" s="96"/>
      <c r="U36" s="96"/>
      <c r="V36" s="96"/>
      <c r="W36" s="96"/>
      <c r="X36" s="96">
        <f t="shared" si="25"/>
        <v>0</v>
      </c>
      <c r="Y36" s="102">
        <f t="shared" si="28"/>
        <v>12</v>
      </c>
      <c r="Z36" s="102">
        <f t="shared" si="28"/>
        <v>0</v>
      </c>
      <c r="AA36" s="102">
        <f t="shared" si="28"/>
        <v>0</v>
      </c>
      <c r="AB36" s="102">
        <f t="shared" si="2"/>
        <v>2</v>
      </c>
      <c r="AC36" s="151">
        <f t="shared" si="27"/>
        <v>12</v>
      </c>
    </row>
    <row r="37" spans="1:29" ht="12.75">
      <c r="A37" s="60">
        <v>28</v>
      </c>
      <c r="B37" s="152" t="s">
        <v>120</v>
      </c>
      <c r="C37" s="137">
        <v>60110800</v>
      </c>
      <c r="D37" s="65" t="s">
        <v>21</v>
      </c>
      <c r="E37" s="99"/>
      <c r="F37" s="99"/>
      <c r="G37" s="99"/>
      <c r="H37" s="99"/>
      <c r="I37" s="96">
        <f t="shared" si="22"/>
        <v>0</v>
      </c>
      <c r="J37" s="99"/>
      <c r="K37" s="99"/>
      <c r="L37" s="99"/>
      <c r="M37" s="99"/>
      <c r="N37" s="96">
        <f t="shared" si="23"/>
        <v>0</v>
      </c>
      <c r="O37" s="99"/>
      <c r="P37" s="99"/>
      <c r="Q37" s="99"/>
      <c r="R37" s="99"/>
      <c r="S37" s="96">
        <f t="shared" si="24"/>
        <v>0</v>
      </c>
      <c r="T37" s="99">
        <f>10+2+29+2+1+7+1+2-1+1-4-1-1+1+3-1-1-1-1+2-1+1-2-1-1+1+1+1+1+4-1-1+1+1-2</f>
        <v>52</v>
      </c>
      <c r="U37" s="99">
        <f>5+3+12+3-1-1-1-1-4-1</f>
        <v>14</v>
      </c>
      <c r="V37" s="99">
        <f>5+8+1+1+1-1-1</f>
        <v>14</v>
      </c>
      <c r="W37" s="99"/>
      <c r="X37" s="96">
        <f t="shared" si="25"/>
        <v>80</v>
      </c>
      <c r="Y37" s="102">
        <f t="shared" si="28"/>
        <v>52</v>
      </c>
      <c r="Z37" s="102">
        <f t="shared" si="28"/>
        <v>14</v>
      </c>
      <c r="AA37" s="102">
        <f t="shared" si="28"/>
        <v>14</v>
      </c>
      <c r="AB37" s="102">
        <f t="shared" si="2"/>
        <v>0</v>
      </c>
      <c r="AC37" s="151">
        <f t="shared" si="27"/>
        <v>80</v>
      </c>
    </row>
    <row r="38" spans="1:29" s="194" customFormat="1" ht="12.75">
      <c r="A38" s="199">
        <v>6</v>
      </c>
      <c r="B38" s="203"/>
      <c r="C38" s="198"/>
      <c r="D38" s="196" t="s">
        <v>50</v>
      </c>
      <c r="E38" s="198">
        <f>+E39+E40+E41+E42+E43</f>
        <v>106</v>
      </c>
      <c r="F38" s="198">
        <f aca="true" t="shared" si="29" ref="F38:AC38">+F39+F40+F41+F42+F43</f>
        <v>0</v>
      </c>
      <c r="G38" s="198">
        <f t="shared" si="29"/>
        <v>0</v>
      </c>
      <c r="H38" s="198">
        <f>+H39+H40+H41+H42+H43</f>
        <v>0</v>
      </c>
      <c r="I38" s="198">
        <f t="shared" si="29"/>
        <v>106</v>
      </c>
      <c r="J38" s="198">
        <f t="shared" si="29"/>
        <v>140</v>
      </c>
      <c r="K38" s="198">
        <f t="shared" si="29"/>
        <v>0</v>
      </c>
      <c r="L38" s="198">
        <f t="shared" si="29"/>
        <v>0</v>
      </c>
      <c r="M38" s="198">
        <f>+M39+M40+M41+M42+M43</f>
        <v>0</v>
      </c>
      <c r="N38" s="198">
        <f t="shared" si="29"/>
        <v>140</v>
      </c>
      <c r="O38" s="198">
        <f t="shared" si="29"/>
        <v>109</v>
      </c>
      <c r="P38" s="198">
        <f t="shared" si="29"/>
        <v>38</v>
      </c>
      <c r="Q38" s="198">
        <f t="shared" si="29"/>
        <v>0</v>
      </c>
      <c r="R38" s="198">
        <f>+R39+R40+R41+R42+R43</f>
        <v>1</v>
      </c>
      <c r="S38" s="198">
        <f t="shared" si="29"/>
        <v>147</v>
      </c>
      <c r="T38" s="198">
        <f t="shared" si="29"/>
        <v>215</v>
      </c>
      <c r="U38" s="198">
        <f t="shared" si="29"/>
        <v>22</v>
      </c>
      <c r="V38" s="198">
        <f t="shared" si="29"/>
        <v>0</v>
      </c>
      <c r="W38" s="198">
        <f t="shared" si="29"/>
        <v>0</v>
      </c>
      <c r="X38" s="198">
        <f t="shared" si="29"/>
        <v>237</v>
      </c>
      <c r="Y38" s="198">
        <f t="shared" si="29"/>
        <v>570</v>
      </c>
      <c r="Z38" s="198">
        <f t="shared" si="29"/>
        <v>60</v>
      </c>
      <c r="AA38" s="198">
        <f t="shared" si="29"/>
        <v>0</v>
      </c>
      <c r="AB38" s="198">
        <f t="shared" si="29"/>
        <v>1</v>
      </c>
      <c r="AC38" s="198">
        <f t="shared" si="29"/>
        <v>630</v>
      </c>
    </row>
    <row r="39" spans="1:29" ht="22.5">
      <c r="A39" s="60">
        <v>29</v>
      </c>
      <c r="B39" s="155" t="s">
        <v>93</v>
      </c>
      <c r="C39" s="136">
        <v>60710400</v>
      </c>
      <c r="D39" s="52" t="s">
        <v>71</v>
      </c>
      <c r="E39" s="96">
        <f>5+3+9+1+2</f>
        <v>20</v>
      </c>
      <c r="F39" s="96"/>
      <c r="G39" s="96"/>
      <c r="H39" s="96"/>
      <c r="I39" s="96">
        <f>E39+F39+G39</f>
        <v>20</v>
      </c>
      <c r="J39" s="96">
        <f>16+6+2+6+7-1+3-1+1-1-1-1-1-2+1-1</f>
        <v>33</v>
      </c>
      <c r="K39" s="96"/>
      <c r="L39" s="96"/>
      <c r="M39" s="96"/>
      <c r="N39" s="96">
        <f>J39+K39+L39</f>
        <v>33</v>
      </c>
      <c r="O39" s="96">
        <f>15+5+9-1+8+1+4+1+2+1-1+1-1-3+1+1+2+1-1-1-1-1-1-1+1+1+1-1-1</f>
        <v>41</v>
      </c>
      <c r="P39" s="96"/>
      <c r="Q39" s="96"/>
      <c r="R39" s="96"/>
      <c r="S39" s="96">
        <f>O39+P39+Q39</f>
        <v>41</v>
      </c>
      <c r="T39" s="96">
        <f>69+1-5-1-1+2-1+2-1+2+3+2-2-1-4+1+2-1+1-1-1+1-1-1</f>
        <v>65</v>
      </c>
      <c r="U39" s="96"/>
      <c r="V39" s="96"/>
      <c r="W39" s="96"/>
      <c r="X39" s="96">
        <f>T39+U39+V39</f>
        <v>65</v>
      </c>
      <c r="Y39" s="102">
        <f aca="true" t="shared" si="30" ref="Y39:AA43">E39+J39+O39+T39</f>
        <v>159</v>
      </c>
      <c r="Z39" s="102">
        <f t="shared" si="30"/>
        <v>0</v>
      </c>
      <c r="AA39" s="102">
        <f t="shared" si="30"/>
        <v>0</v>
      </c>
      <c r="AB39" s="102">
        <f t="shared" si="2"/>
        <v>0</v>
      </c>
      <c r="AC39" s="151">
        <f>Y39+Z39+AA39</f>
        <v>159</v>
      </c>
    </row>
    <row r="40" spans="1:29" ht="12.75">
      <c r="A40" s="60">
        <v>30</v>
      </c>
      <c r="B40" s="150" t="s">
        <v>89</v>
      </c>
      <c r="C40" s="136">
        <v>60530400</v>
      </c>
      <c r="D40" s="69" t="s">
        <v>19</v>
      </c>
      <c r="E40" s="96">
        <f>25+2+27+1+1+1</f>
        <v>57</v>
      </c>
      <c r="F40" s="96"/>
      <c r="G40" s="96"/>
      <c r="H40" s="96"/>
      <c r="I40" s="96">
        <f>E40+F40+G40</f>
        <v>57</v>
      </c>
      <c r="J40" s="96">
        <f>17+14+13+1+12+2+1+1-1+1-1+1-1-1+1+1+3</f>
        <v>64</v>
      </c>
      <c r="K40" s="96"/>
      <c r="L40" s="96"/>
      <c r="M40" s="96"/>
      <c r="N40" s="96">
        <f>J40+K40+L40</f>
        <v>64</v>
      </c>
      <c r="O40" s="96">
        <f>8+11+12+1+1+2+10-1-1-1-3-1-1+3+1+1-1+1+1-1</f>
        <v>42</v>
      </c>
      <c r="P40" s="96">
        <f>3+1+8+4+3+1+1+1+1+1-1-2-1-1-1-1-1-2</f>
        <v>14</v>
      </c>
      <c r="Q40" s="96"/>
      <c r="R40" s="96"/>
      <c r="S40" s="96">
        <f>O40+P40+Q40</f>
        <v>56</v>
      </c>
      <c r="T40" s="96">
        <f>13+1+1+36+6+2+3+13-1+1-1+1+1-3-1-2+2+5+2+2-1-1+1-1+1-2+2-1+1-1-1+1</f>
        <v>79</v>
      </c>
      <c r="U40" s="96"/>
      <c r="V40" s="96"/>
      <c r="W40" s="96"/>
      <c r="X40" s="96">
        <f>T40+U40+V40</f>
        <v>79</v>
      </c>
      <c r="Y40" s="102">
        <f t="shared" si="30"/>
        <v>242</v>
      </c>
      <c r="Z40" s="102">
        <f t="shared" si="30"/>
        <v>14</v>
      </c>
      <c r="AA40" s="102">
        <f t="shared" si="30"/>
        <v>0</v>
      </c>
      <c r="AB40" s="102">
        <f t="shared" si="2"/>
        <v>0</v>
      </c>
      <c r="AC40" s="151">
        <f>Y40+Z40+AA40</f>
        <v>256</v>
      </c>
    </row>
    <row r="41" spans="1:29" ht="12.75">
      <c r="A41" s="60">
        <v>31</v>
      </c>
      <c r="B41" s="150" t="s">
        <v>89</v>
      </c>
      <c r="C41" s="136">
        <v>60520100</v>
      </c>
      <c r="D41" s="69" t="s">
        <v>46</v>
      </c>
      <c r="E41" s="96"/>
      <c r="F41" s="96"/>
      <c r="G41" s="96"/>
      <c r="H41" s="96"/>
      <c r="I41" s="96">
        <f>E41+F41+G41</f>
        <v>0</v>
      </c>
      <c r="J41" s="96">
        <f>5+4+4+5+2-1-3</f>
        <v>16</v>
      </c>
      <c r="K41" s="96"/>
      <c r="L41" s="96"/>
      <c r="M41" s="96"/>
      <c r="N41" s="96">
        <f>J41+K41+L41</f>
        <v>16</v>
      </c>
      <c r="O41" s="96"/>
      <c r="P41" s="96"/>
      <c r="Q41" s="96"/>
      <c r="R41" s="96"/>
      <c r="S41" s="96">
        <f>O41+P41+Q41</f>
        <v>0</v>
      </c>
      <c r="T41" s="96"/>
      <c r="U41" s="96"/>
      <c r="V41" s="96"/>
      <c r="W41" s="96"/>
      <c r="X41" s="96">
        <f>T41+U41+V41</f>
        <v>0</v>
      </c>
      <c r="Y41" s="102">
        <f t="shared" si="30"/>
        <v>16</v>
      </c>
      <c r="Z41" s="102">
        <f t="shared" si="30"/>
        <v>0</v>
      </c>
      <c r="AA41" s="102">
        <f t="shared" si="30"/>
        <v>0</v>
      </c>
      <c r="AB41" s="102">
        <f t="shared" si="2"/>
        <v>0</v>
      </c>
      <c r="AC41" s="151">
        <f>Y41+Z41+AA41</f>
        <v>16</v>
      </c>
    </row>
    <row r="42" spans="1:29" ht="12.75">
      <c r="A42" s="60">
        <v>32</v>
      </c>
      <c r="B42" s="152" t="s">
        <v>120</v>
      </c>
      <c r="C42" s="137">
        <v>60111000</v>
      </c>
      <c r="D42" s="93" t="s">
        <v>104</v>
      </c>
      <c r="E42" s="99"/>
      <c r="F42" s="99"/>
      <c r="G42" s="96"/>
      <c r="H42" s="96"/>
      <c r="I42" s="96">
        <f>E42+F42+G42</f>
        <v>0</v>
      </c>
      <c r="J42" s="99"/>
      <c r="K42" s="99"/>
      <c r="L42" s="96"/>
      <c r="M42" s="96"/>
      <c r="N42" s="96">
        <f>J42+K42+L42</f>
        <v>0</v>
      </c>
      <c r="O42" s="99"/>
      <c r="P42" s="99"/>
      <c r="Q42" s="96"/>
      <c r="R42" s="96"/>
      <c r="S42" s="96">
        <f>O42+P42+Q42</f>
        <v>0</v>
      </c>
      <c r="T42" s="99">
        <f>8+22+5+1+10-1-11+1+1+1-1+3+1-1-2-1+5-1</f>
        <v>40</v>
      </c>
      <c r="U42" s="99">
        <f>3+13+2+1+1+1+1-1-1-2-1-5-1</f>
        <v>11</v>
      </c>
      <c r="V42" s="96"/>
      <c r="W42" s="96"/>
      <c r="X42" s="96">
        <f>T42+U42+V42</f>
        <v>51</v>
      </c>
      <c r="Y42" s="102">
        <f t="shared" si="30"/>
        <v>40</v>
      </c>
      <c r="Z42" s="102">
        <f t="shared" si="30"/>
        <v>11</v>
      </c>
      <c r="AA42" s="102">
        <f t="shared" si="30"/>
        <v>0</v>
      </c>
      <c r="AB42" s="102">
        <f t="shared" si="2"/>
        <v>0</v>
      </c>
      <c r="AC42" s="151">
        <f>Y42+Z42+AA42</f>
        <v>51</v>
      </c>
    </row>
    <row r="43" spans="1:29" ht="12.75">
      <c r="A43" s="60">
        <v>33</v>
      </c>
      <c r="B43" s="150" t="s">
        <v>89</v>
      </c>
      <c r="C43" s="136">
        <v>60530500</v>
      </c>
      <c r="D43" s="93" t="s">
        <v>105</v>
      </c>
      <c r="E43" s="99">
        <f>10+1+10+3+3+2</f>
        <v>29</v>
      </c>
      <c r="F43" s="99"/>
      <c r="G43" s="96"/>
      <c r="H43" s="133"/>
      <c r="I43" s="96">
        <f>E43+F43+G43</f>
        <v>29</v>
      </c>
      <c r="J43" s="99">
        <f>10+5+4+4+2+1-1-1-2+5</f>
        <v>27</v>
      </c>
      <c r="K43" s="99"/>
      <c r="L43" s="96"/>
      <c r="M43" s="96"/>
      <c r="N43" s="96">
        <f>J43+K43+L43</f>
        <v>27</v>
      </c>
      <c r="O43" s="99">
        <f>7+5+14+2+1+2+1+1+1+1-1-1+1+3+2-1-1-3-1+1-1-1-1-1-4-1+1</f>
        <v>26</v>
      </c>
      <c r="P43" s="99">
        <f>4+2+9+1+4+3+1+1+1+3+1-1-1-4-1+1+3-1-1-1</f>
        <v>24</v>
      </c>
      <c r="Q43" s="96"/>
      <c r="R43" s="96">
        <v>1</v>
      </c>
      <c r="S43" s="96">
        <f>O43+P43+Q43</f>
        <v>50</v>
      </c>
      <c r="T43" s="99">
        <f>7+21+2+4+1+3-1-2+1-2+1-2-1-1</f>
        <v>31</v>
      </c>
      <c r="U43" s="99">
        <f>4+9+4+1+1-1-1-1-1-1-1-2</f>
        <v>11</v>
      </c>
      <c r="V43" s="96"/>
      <c r="W43" s="96"/>
      <c r="X43" s="96">
        <f>T43+U43+V43</f>
        <v>42</v>
      </c>
      <c r="Y43" s="102">
        <f t="shared" si="30"/>
        <v>113</v>
      </c>
      <c r="Z43" s="102">
        <f t="shared" si="30"/>
        <v>35</v>
      </c>
      <c r="AA43" s="102">
        <f t="shared" si="30"/>
        <v>0</v>
      </c>
      <c r="AB43" s="102">
        <f t="shared" si="2"/>
        <v>1</v>
      </c>
      <c r="AC43" s="151">
        <f>Y43+Z43+AA43</f>
        <v>148</v>
      </c>
    </row>
    <row r="44" spans="1:29" s="194" customFormat="1" ht="22.5">
      <c r="A44" s="199">
        <v>7</v>
      </c>
      <c r="B44" s="197"/>
      <c r="C44" s="198"/>
      <c r="D44" s="200" t="s">
        <v>143</v>
      </c>
      <c r="E44" s="198">
        <f>+E45+E46+E47+E48+E49</f>
        <v>95</v>
      </c>
      <c r="F44" s="198">
        <f aca="true" t="shared" si="31" ref="F44:AC44">+F45+F46+F47+F48+F49</f>
        <v>0</v>
      </c>
      <c r="G44" s="198">
        <f t="shared" si="31"/>
        <v>0</v>
      </c>
      <c r="H44" s="198">
        <f>+H45+H46+H47+H48+H49</f>
        <v>2</v>
      </c>
      <c r="I44" s="198">
        <f t="shared" si="31"/>
        <v>95</v>
      </c>
      <c r="J44" s="198">
        <f t="shared" si="31"/>
        <v>100</v>
      </c>
      <c r="K44" s="198">
        <f t="shared" si="31"/>
        <v>0</v>
      </c>
      <c r="L44" s="198">
        <f t="shared" si="31"/>
        <v>0</v>
      </c>
      <c r="M44" s="198">
        <f>+M45+M46+M47+M48+M49</f>
        <v>0</v>
      </c>
      <c r="N44" s="198">
        <f t="shared" si="31"/>
        <v>100</v>
      </c>
      <c r="O44" s="198">
        <f t="shared" si="31"/>
        <v>56</v>
      </c>
      <c r="P44" s="198">
        <f t="shared" si="31"/>
        <v>0</v>
      </c>
      <c r="Q44" s="198">
        <f t="shared" si="31"/>
        <v>0</v>
      </c>
      <c r="R44" s="198">
        <f>+R45+R46+R47+R48+R49</f>
        <v>0</v>
      </c>
      <c r="S44" s="198">
        <f t="shared" si="31"/>
        <v>56</v>
      </c>
      <c r="T44" s="198">
        <f t="shared" si="31"/>
        <v>130</v>
      </c>
      <c r="U44" s="198">
        <f t="shared" si="31"/>
        <v>0</v>
      </c>
      <c r="V44" s="198">
        <f t="shared" si="31"/>
        <v>0</v>
      </c>
      <c r="W44" s="198">
        <f t="shared" si="31"/>
        <v>0</v>
      </c>
      <c r="X44" s="198">
        <f t="shared" si="31"/>
        <v>130</v>
      </c>
      <c r="Y44" s="198">
        <f t="shared" si="31"/>
        <v>381</v>
      </c>
      <c r="Z44" s="198">
        <f t="shared" si="31"/>
        <v>0</v>
      </c>
      <c r="AA44" s="198">
        <f t="shared" si="31"/>
        <v>0</v>
      </c>
      <c r="AB44" s="198">
        <f t="shared" si="31"/>
        <v>2</v>
      </c>
      <c r="AC44" s="198">
        <f t="shared" si="31"/>
        <v>381</v>
      </c>
    </row>
    <row r="45" spans="1:29" ht="12.75">
      <c r="A45" s="60">
        <v>34</v>
      </c>
      <c r="B45" s="150" t="s">
        <v>88</v>
      </c>
      <c r="C45" s="136">
        <v>60230600</v>
      </c>
      <c r="D45" s="52" t="s">
        <v>14</v>
      </c>
      <c r="E45" s="96">
        <f>17+3+6+1+11+2+14+1+1</f>
        <v>56</v>
      </c>
      <c r="F45" s="96"/>
      <c r="G45" s="96"/>
      <c r="H45" s="96"/>
      <c r="I45" s="96">
        <f>E45+F45+G45</f>
        <v>56</v>
      </c>
      <c r="J45" s="96">
        <f>7+14+5+6+1-1-1+1</f>
        <v>32</v>
      </c>
      <c r="K45" s="96"/>
      <c r="L45" s="96"/>
      <c r="M45" s="133"/>
      <c r="N45" s="96">
        <f>J45+K45+L45</f>
        <v>32</v>
      </c>
      <c r="O45" s="96">
        <f>10+35+2+1+2+3+1+1-1-1+2-2+3-1+1</f>
        <v>56</v>
      </c>
      <c r="P45" s="96"/>
      <c r="Q45" s="96"/>
      <c r="R45" s="96"/>
      <c r="S45" s="96">
        <f>O45+P45+Q45</f>
        <v>56</v>
      </c>
      <c r="T45" s="96">
        <f>1+3+10+1+37+8+1+2+16-1+1+1-5-1+14+4+1+2+23-2+2-1+2+3+1+1-1+1+1-1-1+12+2-2+1-2+2-1-1-1-1+1-1-1+2+1+1-4-1+1-1</f>
        <v>130</v>
      </c>
      <c r="U45" s="96"/>
      <c r="V45" s="96"/>
      <c r="W45" s="96"/>
      <c r="X45" s="96">
        <f>T45+U45+V45</f>
        <v>130</v>
      </c>
      <c r="Y45" s="102">
        <f aca="true" t="shared" si="32" ref="Y45:AA49">E45+J45+O45+T45</f>
        <v>274</v>
      </c>
      <c r="Z45" s="102">
        <f t="shared" si="32"/>
        <v>0</v>
      </c>
      <c r="AA45" s="102">
        <f t="shared" si="32"/>
        <v>0</v>
      </c>
      <c r="AB45" s="102">
        <f t="shared" si="2"/>
        <v>0</v>
      </c>
      <c r="AC45" s="151">
        <f>Y45+Z45+AA45</f>
        <v>274</v>
      </c>
    </row>
    <row r="46" spans="1:29" ht="12.75">
      <c r="A46" s="60">
        <v>35</v>
      </c>
      <c r="B46" s="150"/>
      <c r="C46" s="130">
        <v>60410500</v>
      </c>
      <c r="D46" s="93" t="s">
        <v>130</v>
      </c>
      <c r="E46" s="96">
        <f>6+1+1+6+1+9</f>
        <v>24</v>
      </c>
      <c r="F46" s="96"/>
      <c r="G46" s="96"/>
      <c r="H46" s="96"/>
      <c r="I46" s="96">
        <f>E46+F46+G46</f>
        <v>24</v>
      </c>
      <c r="J46" s="96">
        <f>5+5+5+2+1-1</f>
        <v>17</v>
      </c>
      <c r="K46" s="96"/>
      <c r="L46" s="96"/>
      <c r="M46" s="96"/>
      <c r="N46" s="96">
        <f>J46+K46+L46</f>
        <v>17</v>
      </c>
      <c r="O46" s="96"/>
      <c r="P46" s="96"/>
      <c r="Q46" s="96"/>
      <c r="R46" s="96"/>
      <c r="S46" s="96">
        <f>O46+P46+Q46</f>
        <v>0</v>
      </c>
      <c r="T46" s="96"/>
      <c r="U46" s="96"/>
      <c r="V46" s="96"/>
      <c r="W46" s="96"/>
      <c r="X46" s="96">
        <f>T46+U46+V46</f>
        <v>0</v>
      </c>
      <c r="Y46" s="102">
        <f t="shared" si="32"/>
        <v>41</v>
      </c>
      <c r="Z46" s="102">
        <f t="shared" si="32"/>
        <v>0</v>
      </c>
      <c r="AA46" s="102">
        <f t="shared" si="32"/>
        <v>0</v>
      </c>
      <c r="AB46" s="102">
        <f t="shared" si="2"/>
        <v>0</v>
      </c>
      <c r="AC46" s="151">
        <f>Y46+Z46+AA46</f>
        <v>41</v>
      </c>
    </row>
    <row r="47" spans="1:29" ht="12.75">
      <c r="A47" s="60">
        <v>36</v>
      </c>
      <c r="B47" s="150"/>
      <c r="C47" s="130">
        <v>60411400</v>
      </c>
      <c r="D47" s="93" t="s">
        <v>131</v>
      </c>
      <c r="E47" s="96">
        <f>5+3+7</f>
        <v>15</v>
      </c>
      <c r="F47" s="96"/>
      <c r="G47" s="96"/>
      <c r="H47" s="96"/>
      <c r="I47" s="96">
        <f>E47+F47+G47</f>
        <v>15</v>
      </c>
      <c r="J47" s="96">
        <f>5+9+3+4-1+3-1</f>
        <v>22</v>
      </c>
      <c r="K47" s="96"/>
      <c r="L47" s="96"/>
      <c r="M47" s="96"/>
      <c r="N47" s="96">
        <f>J47+K47+L47</f>
        <v>22</v>
      </c>
      <c r="O47" s="96"/>
      <c r="P47" s="96"/>
      <c r="Q47" s="96"/>
      <c r="R47" s="96"/>
      <c r="S47" s="96">
        <f>O47+P47+Q47</f>
        <v>0</v>
      </c>
      <c r="T47" s="96"/>
      <c r="U47" s="96"/>
      <c r="V47" s="96"/>
      <c r="W47" s="96"/>
      <c r="X47" s="96">
        <f>T47+U47+V47</f>
        <v>0</v>
      </c>
      <c r="Y47" s="102">
        <f t="shared" si="32"/>
        <v>37</v>
      </c>
      <c r="Z47" s="102">
        <f t="shared" si="32"/>
        <v>0</v>
      </c>
      <c r="AA47" s="102">
        <f t="shared" si="32"/>
        <v>0</v>
      </c>
      <c r="AB47" s="102">
        <f t="shared" si="2"/>
        <v>0</v>
      </c>
      <c r="AC47" s="151">
        <f>Y47+Z47+AA47</f>
        <v>37</v>
      </c>
    </row>
    <row r="48" spans="1:29" ht="12.75">
      <c r="A48" s="60">
        <v>37</v>
      </c>
      <c r="B48" s="150"/>
      <c r="C48" s="130">
        <v>60412400</v>
      </c>
      <c r="D48" s="93" t="s">
        <v>132</v>
      </c>
      <c r="E48" s="96"/>
      <c r="F48" s="96"/>
      <c r="G48" s="96"/>
      <c r="H48" s="96">
        <v>2</v>
      </c>
      <c r="I48" s="96">
        <f>E48+F48+G48</f>
        <v>0</v>
      </c>
      <c r="J48" s="96">
        <f>5+7+4+2+2-1-2-1-2</f>
        <v>14</v>
      </c>
      <c r="K48" s="96"/>
      <c r="L48" s="96"/>
      <c r="M48" s="96"/>
      <c r="N48" s="96">
        <f>J48+K48+L48</f>
        <v>14</v>
      </c>
      <c r="O48" s="96"/>
      <c r="P48" s="96"/>
      <c r="Q48" s="96"/>
      <c r="R48" s="96"/>
      <c r="S48" s="96">
        <f>O48+P48+Q48</f>
        <v>0</v>
      </c>
      <c r="T48" s="96"/>
      <c r="U48" s="96"/>
      <c r="V48" s="96"/>
      <c r="W48" s="96"/>
      <c r="X48" s="96">
        <f>T48+U48+V48</f>
        <v>0</v>
      </c>
      <c r="Y48" s="102">
        <f t="shared" si="32"/>
        <v>14</v>
      </c>
      <c r="Z48" s="102">
        <f t="shared" si="32"/>
        <v>0</v>
      </c>
      <c r="AA48" s="102">
        <f t="shared" si="32"/>
        <v>0</v>
      </c>
      <c r="AB48" s="102">
        <f t="shared" si="2"/>
        <v>2</v>
      </c>
      <c r="AC48" s="151">
        <f>Y48+Z48+AA48</f>
        <v>14</v>
      </c>
    </row>
    <row r="49" spans="1:29" ht="12.75">
      <c r="A49" s="60">
        <v>38</v>
      </c>
      <c r="B49" s="150"/>
      <c r="C49" s="130">
        <v>60310500</v>
      </c>
      <c r="D49" s="93" t="s">
        <v>133</v>
      </c>
      <c r="E49" s="96"/>
      <c r="F49" s="96"/>
      <c r="G49" s="96"/>
      <c r="H49" s="96"/>
      <c r="I49" s="96">
        <f>E49+F49+G49</f>
        <v>0</v>
      </c>
      <c r="J49" s="96">
        <f>6+5+2+2+1+1-1-1</f>
        <v>15</v>
      </c>
      <c r="K49" s="96"/>
      <c r="L49" s="96"/>
      <c r="M49" s="96"/>
      <c r="N49" s="96">
        <f>J49+K49+L49</f>
        <v>15</v>
      </c>
      <c r="O49" s="96"/>
      <c r="P49" s="96"/>
      <c r="Q49" s="96"/>
      <c r="R49" s="96"/>
      <c r="S49" s="96">
        <f>O49+P49+Q49</f>
        <v>0</v>
      </c>
      <c r="T49" s="96"/>
      <c r="U49" s="96"/>
      <c r="V49" s="96"/>
      <c r="W49" s="96"/>
      <c r="X49" s="96">
        <f>T49+U49+V49</f>
        <v>0</v>
      </c>
      <c r="Y49" s="102">
        <f t="shared" si="32"/>
        <v>15</v>
      </c>
      <c r="Z49" s="102">
        <f t="shared" si="32"/>
        <v>0</v>
      </c>
      <c r="AA49" s="102">
        <f t="shared" si="32"/>
        <v>0</v>
      </c>
      <c r="AB49" s="102">
        <f t="shared" si="2"/>
        <v>0</v>
      </c>
      <c r="AC49" s="151">
        <f>Y49+Z49+AA49</f>
        <v>15</v>
      </c>
    </row>
    <row r="50" spans="1:29" s="194" customFormat="1" ht="12.75">
      <c r="A50" s="199">
        <v>8</v>
      </c>
      <c r="B50" s="197"/>
      <c r="C50" s="198"/>
      <c r="D50" s="196" t="s">
        <v>135</v>
      </c>
      <c r="E50" s="198">
        <f>E51+E52+E53+E54+E55</f>
        <v>158</v>
      </c>
      <c r="F50" s="198">
        <f aca="true" t="shared" si="33" ref="F50:AC50">F51+F52+F53+F54+F55</f>
        <v>0</v>
      </c>
      <c r="G50" s="198">
        <f t="shared" si="33"/>
        <v>0</v>
      </c>
      <c r="H50" s="198">
        <f>H51+H52+H53+H54+H55</f>
        <v>2</v>
      </c>
      <c r="I50" s="198">
        <f t="shared" si="33"/>
        <v>158</v>
      </c>
      <c r="J50" s="198">
        <f>J51+J52+J53+J54+J55</f>
        <v>227</v>
      </c>
      <c r="K50" s="198">
        <f>K51+K52+K53+K54+K55</f>
        <v>24</v>
      </c>
      <c r="L50" s="198">
        <f>L51+L52+L53+L54+L55</f>
        <v>0</v>
      </c>
      <c r="M50" s="198">
        <f>M51+M52+M53+M54+M55</f>
        <v>1</v>
      </c>
      <c r="N50" s="198">
        <f t="shared" si="33"/>
        <v>251</v>
      </c>
      <c r="O50" s="198">
        <f>O51+O52+O53+O54+O55</f>
        <v>175</v>
      </c>
      <c r="P50" s="198">
        <f>P51+P52+P53+P54+P55</f>
        <v>16</v>
      </c>
      <c r="Q50" s="198">
        <f>Q51+Q52+Q53+Q54+Q55</f>
        <v>0</v>
      </c>
      <c r="R50" s="198">
        <f>R51+R52+R53+R54+R55</f>
        <v>1</v>
      </c>
      <c r="S50" s="198">
        <f t="shared" si="33"/>
        <v>191</v>
      </c>
      <c r="T50" s="198">
        <f>T51+T52+T53+T54+T55</f>
        <v>182</v>
      </c>
      <c r="U50" s="198">
        <f>U51+U52+U53+U54+U55</f>
        <v>32</v>
      </c>
      <c r="V50" s="198">
        <f>V51+V52+V53+V54+V55</f>
        <v>0</v>
      </c>
      <c r="W50" s="198">
        <f t="shared" si="33"/>
        <v>0</v>
      </c>
      <c r="X50" s="198">
        <f t="shared" si="33"/>
        <v>214</v>
      </c>
      <c r="Y50" s="198">
        <f t="shared" si="33"/>
        <v>742</v>
      </c>
      <c r="Z50" s="198">
        <f t="shared" si="33"/>
        <v>72</v>
      </c>
      <c r="AA50" s="198">
        <f t="shared" si="33"/>
        <v>0</v>
      </c>
      <c r="AB50" s="198">
        <f t="shared" si="33"/>
        <v>4</v>
      </c>
      <c r="AC50" s="198">
        <f t="shared" si="33"/>
        <v>814</v>
      </c>
    </row>
    <row r="51" spans="1:29" ht="15.75" customHeight="1">
      <c r="A51" s="60">
        <v>39</v>
      </c>
      <c r="B51" s="150" t="s">
        <v>121</v>
      </c>
      <c r="C51" s="136">
        <v>60310900</v>
      </c>
      <c r="D51" s="52" t="s">
        <v>54</v>
      </c>
      <c r="E51" s="96"/>
      <c r="F51" s="96"/>
      <c r="G51" s="96"/>
      <c r="H51" s="96"/>
      <c r="I51" s="96">
        <f>E51+F51+G51</f>
        <v>0</v>
      </c>
      <c r="J51" s="96">
        <f>35+37+20+25+4-1+5-1+4+7+1-1+5-1-1-1-1-1-1-2+1+1+1</f>
        <v>135</v>
      </c>
      <c r="K51" s="96">
        <f>12+5+4+8+1+2-1+1-1-1-1-1-2-1-1</f>
        <v>24</v>
      </c>
      <c r="L51" s="96"/>
      <c r="M51" s="96">
        <v>1</v>
      </c>
      <c r="N51" s="96">
        <f>J51+K51+L51</f>
        <v>159</v>
      </c>
      <c r="O51" s="96"/>
      <c r="P51" s="96"/>
      <c r="Q51" s="96"/>
      <c r="R51" s="96"/>
      <c r="S51" s="96">
        <f>O51+P51+Q51</f>
        <v>0</v>
      </c>
      <c r="T51" s="96"/>
      <c r="U51" s="96"/>
      <c r="V51" s="96"/>
      <c r="W51" s="96"/>
      <c r="X51" s="96">
        <f>T51+U51+V51</f>
        <v>0</v>
      </c>
      <c r="Y51" s="102">
        <f aca="true" t="shared" si="34" ref="Y51:AA55">E51+J51+O51+T51</f>
        <v>135</v>
      </c>
      <c r="Z51" s="102">
        <f t="shared" si="34"/>
        <v>24</v>
      </c>
      <c r="AA51" s="102">
        <f t="shared" si="34"/>
        <v>0</v>
      </c>
      <c r="AB51" s="102">
        <f t="shared" si="2"/>
        <v>1</v>
      </c>
      <c r="AC51" s="151">
        <f>Y51+Z51+AA51</f>
        <v>159</v>
      </c>
    </row>
    <row r="52" spans="1:29" ht="12.75">
      <c r="A52" s="60">
        <v>40</v>
      </c>
      <c r="B52" s="150" t="s">
        <v>74</v>
      </c>
      <c r="C52" s="130">
        <v>60920100</v>
      </c>
      <c r="D52" s="69" t="s">
        <v>20</v>
      </c>
      <c r="E52" s="96">
        <f>6+2+8</f>
        <v>16</v>
      </c>
      <c r="F52" s="96"/>
      <c r="G52" s="96"/>
      <c r="H52" s="96"/>
      <c r="I52" s="96">
        <f>E52+F52+G52</f>
        <v>16</v>
      </c>
      <c r="J52" s="96">
        <f>10+13+4-1+11+3+2-1-1+1+2+1</f>
        <v>44</v>
      </c>
      <c r="K52" s="96"/>
      <c r="L52" s="96"/>
      <c r="M52" s="96"/>
      <c r="N52" s="96">
        <f>J52+K52+L52</f>
        <v>44</v>
      </c>
      <c r="O52" s="96">
        <f>11+4+7+14+1+2+3-1+3+3+1+1-1-1+1-1-1-2+1+1+1-1-2+1</f>
        <v>45</v>
      </c>
      <c r="P52" s="96"/>
      <c r="Q52" s="96"/>
      <c r="R52" s="96">
        <v>1</v>
      </c>
      <c r="S52" s="96">
        <f>O52+P52+Q52</f>
        <v>45</v>
      </c>
      <c r="T52" s="96">
        <f>6+42+1+11+7+2-1-11-2+3-1+2+1-1-1-1-1-2+1+3-1+1-2+3-1-1-1-1</f>
        <v>55</v>
      </c>
      <c r="U52" s="96">
        <f>1+14+3+1+1+1-1-1-3-1</f>
        <v>15</v>
      </c>
      <c r="V52" s="96"/>
      <c r="W52" s="96"/>
      <c r="X52" s="96">
        <f>T52+U52+V52</f>
        <v>70</v>
      </c>
      <c r="Y52" s="102">
        <f t="shared" si="34"/>
        <v>160</v>
      </c>
      <c r="Z52" s="102">
        <f t="shared" si="34"/>
        <v>15</v>
      </c>
      <c r="AA52" s="102">
        <f t="shared" si="34"/>
        <v>0</v>
      </c>
      <c r="AB52" s="102">
        <f t="shared" si="2"/>
        <v>1</v>
      </c>
      <c r="AC52" s="151">
        <f>Y52+Z52+AA52</f>
        <v>175</v>
      </c>
    </row>
    <row r="53" spans="1:29" ht="12.75">
      <c r="A53" s="60">
        <v>41</v>
      </c>
      <c r="B53" s="150" t="s">
        <v>121</v>
      </c>
      <c r="C53" s="136">
        <v>60311000</v>
      </c>
      <c r="D53" s="65" t="s">
        <v>81</v>
      </c>
      <c r="E53" s="96">
        <f>10+2+1+3+1+5+1</f>
        <v>23</v>
      </c>
      <c r="F53" s="96"/>
      <c r="G53" s="96"/>
      <c r="H53" s="96"/>
      <c r="I53" s="96">
        <f>E53+F53+G53</f>
        <v>23</v>
      </c>
      <c r="J53" s="96">
        <f>10+3+2+11-1-1+1-1-1</f>
        <v>23</v>
      </c>
      <c r="K53" s="96"/>
      <c r="L53" s="96"/>
      <c r="M53" s="96"/>
      <c r="N53" s="96">
        <f>J53+K53+L53</f>
        <v>23</v>
      </c>
      <c r="O53" s="96">
        <f>14+9+9+4+1+5+2-2+2+1+7-6-1-2-1+1-4</f>
        <v>39</v>
      </c>
      <c r="P53" s="96"/>
      <c r="Q53" s="96"/>
      <c r="R53" s="96"/>
      <c r="S53" s="96">
        <f>O53+P53+Q53</f>
        <v>39</v>
      </c>
      <c r="T53" s="96">
        <f>11+28+7+1+2+2+2+1-16+1+1-1+1-1-1-1</f>
        <v>37</v>
      </c>
      <c r="U53" s="96"/>
      <c r="V53" s="96"/>
      <c r="W53" s="96"/>
      <c r="X53" s="96">
        <f>T53+U53+V53</f>
        <v>37</v>
      </c>
      <c r="Y53" s="102">
        <f t="shared" si="34"/>
        <v>122</v>
      </c>
      <c r="Z53" s="102">
        <f t="shared" si="34"/>
        <v>0</v>
      </c>
      <c r="AA53" s="102">
        <f t="shared" si="34"/>
        <v>0</v>
      </c>
      <c r="AB53" s="102">
        <f t="shared" si="2"/>
        <v>0</v>
      </c>
      <c r="AC53" s="151">
        <f>Y53+Z53+AA53</f>
        <v>122</v>
      </c>
    </row>
    <row r="54" spans="1:29" ht="12.75">
      <c r="A54" s="60">
        <v>42</v>
      </c>
      <c r="B54" s="150" t="s">
        <v>121</v>
      </c>
      <c r="C54" s="136">
        <v>60310900</v>
      </c>
      <c r="D54" s="65" t="s">
        <v>82</v>
      </c>
      <c r="E54" s="96">
        <f>1+48+5+8+3+18+2+31+2+1</f>
        <v>119</v>
      </c>
      <c r="F54" s="96"/>
      <c r="G54" s="96"/>
      <c r="H54" s="96">
        <v>1</v>
      </c>
      <c r="I54" s="96">
        <f>E54+F54+G54</f>
        <v>119</v>
      </c>
      <c r="J54" s="96"/>
      <c r="K54" s="96"/>
      <c r="L54" s="96"/>
      <c r="M54" s="133"/>
      <c r="N54" s="96">
        <f>J54+K54+L54</f>
        <v>0</v>
      </c>
      <c r="O54" s="96">
        <f>38+12+17+7+4+4+10+4+1+4+3+1+1-6+1-1-4+1+1-1-1-1-2-2-1+1+4-2+3-1+1+1-1-1-2-1-1</f>
        <v>91</v>
      </c>
      <c r="P54" s="96">
        <f>10+7+1+2+1+1+1-1-1-1-3-1</f>
        <v>16</v>
      </c>
      <c r="Q54" s="96"/>
      <c r="R54" s="96"/>
      <c r="S54" s="96">
        <f>O54+P54+Q54</f>
        <v>107</v>
      </c>
      <c r="T54" s="96">
        <f>13+1+1+52+9+2+8-1+2+1-1+1+1-1-1-1-7-1+1+3+4+8-5+2+2+1+2-1+3-1+2-1-1+1+2-1-2+1-1-2+4-1-1-1+2-1+1+1-2+1-1-3-1-1-2</f>
        <v>90</v>
      </c>
      <c r="U54" s="96">
        <f>1+14+4+1+1-2-1-1</f>
        <v>17</v>
      </c>
      <c r="V54" s="96"/>
      <c r="W54" s="96"/>
      <c r="X54" s="96">
        <f>T54+U54+V54</f>
        <v>107</v>
      </c>
      <c r="Y54" s="102">
        <f t="shared" si="34"/>
        <v>300</v>
      </c>
      <c r="Z54" s="102">
        <f t="shared" si="34"/>
        <v>33</v>
      </c>
      <c r="AA54" s="102">
        <f t="shared" si="34"/>
        <v>0</v>
      </c>
      <c r="AB54" s="102">
        <f t="shared" si="2"/>
        <v>1</v>
      </c>
      <c r="AC54" s="151">
        <f>Y54+Z54+AA54</f>
        <v>333</v>
      </c>
    </row>
    <row r="55" spans="1:29" ht="12.75">
      <c r="A55" s="60">
        <v>43</v>
      </c>
      <c r="B55" s="150"/>
      <c r="C55" s="136">
        <v>60220500</v>
      </c>
      <c r="D55" s="69" t="s">
        <v>60</v>
      </c>
      <c r="E55" s="96"/>
      <c r="F55" s="96"/>
      <c r="G55" s="96"/>
      <c r="H55" s="96">
        <v>1</v>
      </c>
      <c r="I55" s="96">
        <f>E55+F55+G55</f>
        <v>0</v>
      </c>
      <c r="J55" s="96">
        <f>6+7+11+2+1+2-2-2</f>
        <v>25</v>
      </c>
      <c r="K55" s="96"/>
      <c r="L55" s="96"/>
      <c r="M55" s="96"/>
      <c r="N55" s="96">
        <f>J55+K55+L55</f>
        <v>25</v>
      </c>
      <c r="O55" s="96"/>
      <c r="P55" s="96"/>
      <c r="Q55" s="96"/>
      <c r="R55" s="96"/>
      <c r="S55" s="96">
        <f>O55+P55+Q55</f>
        <v>0</v>
      </c>
      <c r="T55" s="96"/>
      <c r="U55" s="96"/>
      <c r="V55" s="96"/>
      <c r="W55" s="96"/>
      <c r="X55" s="96">
        <f>T55+U55+V55</f>
        <v>0</v>
      </c>
      <c r="Y55" s="102">
        <f t="shared" si="34"/>
        <v>25</v>
      </c>
      <c r="Z55" s="102">
        <f t="shared" si="34"/>
        <v>0</v>
      </c>
      <c r="AA55" s="102">
        <f t="shared" si="34"/>
        <v>0</v>
      </c>
      <c r="AB55" s="102">
        <f t="shared" si="2"/>
        <v>1</v>
      </c>
      <c r="AC55" s="151">
        <f>Y55+Z55+AA55</f>
        <v>25</v>
      </c>
    </row>
    <row r="56" spans="1:29" s="194" customFormat="1" ht="12.75">
      <c r="A56" s="199">
        <v>9</v>
      </c>
      <c r="B56" s="197"/>
      <c r="C56" s="198"/>
      <c r="D56" s="196" t="s">
        <v>141</v>
      </c>
      <c r="E56" s="198">
        <f>+E57+E58+E59+E60+E61+E62+E63+E64</f>
        <v>9</v>
      </c>
      <c r="F56" s="198">
        <f aca="true" t="shared" si="35" ref="F56:AC56">+F57+F58+F59+F60+F61+F62+F63+F64</f>
        <v>0</v>
      </c>
      <c r="G56" s="198">
        <f t="shared" si="35"/>
        <v>0</v>
      </c>
      <c r="H56" s="198">
        <f>+H57+H58+H59+H60+H61+H62+H63+H64</f>
        <v>0</v>
      </c>
      <c r="I56" s="198">
        <f t="shared" si="35"/>
        <v>9</v>
      </c>
      <c r="J56" s="198">
        <f t="shared" si="35"/>
        <v>0</v>
      </c>
      <c r="K56" s="198">
        <f t="shared" si="35"/>
        <v>0</v>
      </c>
      <c r="L56" s="198">
        <f t="shared" si="35"/>
        <v>0</v>
      </c>
      <c r="M56" s="198">
        <f>+M57+M58+M59+M60+M61+M62+M63+M64</f>
        <v>0</v>
      </c>
      <c r="N56" s="198">
        <f t="shared" si="35"/>
        <v>0</v>
      </c>
      <c r="O56" s="198">
        <f t="shared" si="35"/>
        <v>167</v>
      </c>
      <c r="P56" s="198">
        <f t="shared" si="35"/>
        <v>0</v>
      </c>
      <c r="Q56" s="198">
        <f t="shared" si="35"/>
        <v>0</v>
      </c>
      <c r="R56" s="198">
        <f>+R57+R58+R59+R60+R61+R62+R63+R64</f>
        <v>0</v>
      </c>
      <c r="S56" s="198">
        <f t="shared" si="35"/>
        <v>167</v>
      </c>
      <c r="T56" s="198">
        <f t="shared" si="35"/>
        <v>414</v>
      </c>
      <c r="U56" s="198">
        <f t="shared" si="35"/>
        <v>48</v>
      </c>
      <c r="V56" s="198">
        <f t="shared" si="35"/>
        <v>38</v>
      </c>
      <c r="W56" s="198">
        <f t="shared" si="35"/>
        <v>0</v>
      </c>
      <c r="X56" s="198">
        <f t="shared" si="35"/>
        <v>500</v>
      </c>
      <c r="Y56" s="198">
        <f t="shared" si="35"/>
        <v>590</v>
      </c>
      <c r="Z56" s="198">
        <f t="shared" si="35"/>
        <v>48</v>
      </c>
      <c r="AA56" s="198">
        <f t="shared" si="35"/>
        <v>38</v>
      </c>
      <c r="AB56" s="198">
        <f t="shared" si="35"/>
        <v>0</v>
      </c>
      <c r="AC56" s="198">
        <f t="shared" si="35"/>
        <v>676</v>
      </c>
    </row>
    <row r="57" spans="1:29" ht="12.75">
      <c r="A57" s="60">
        <v>44</v>
      </c>
      <c r="B57" s="152" t="s">
        <v>120</v>
      </c>
      <c r="C57" s="208">
        <v>60210400</v>
      </c>
      <c r="D57" s="141" t="s">
        <v>137</v>
      </c>
      <c r="E57" s="103">
        <f>6+2+1</f>
        <v>9</v>
      </c>
      <c r="F57" s="103"/>
      <c r="G57" s="103"/>
      <c r="H57" s="103"/>
      <c r="I57" s="96">
        <f aca="true" t="shared" si="36" ref="I57:I63">E57+F57+G57</f>
        <v>9</v>
      </c>
      <c r="J57" s="103"/>
      <c r="K57" s="103"/>
      <c r="L57" s="103"/>
      <c r="M57" s="103"/>
      <c r="N57" s="96">
        <f aca="true" t="shared" si="37" ref="N57:N63">J57+K57+L57</f>
        <v>0</v>
      </c>
      <c r="O57" s="103"/>
      <c r="P57" s="103"/>
      <c r="Q57" s="103"/>
      <c r="R57" s="103"/>
      <c r="S57" s="96">
        <f aca="true" t="shared" si="38" ref="S57:S63">O57+P57+Q57</f>
        <v>0</v>
      </c>
      <c r="T57" s="103"/>
      <c r="U57" s="103"/>
      <c r="V57" s="103"/>
      <c r="W57" s="103"/>
      <c r="X57" s="96">
        <f aca="true" t="shared" si="39" ref="X57:X63">T57+U57+V57</f>
        <v>0</v>
      </c>
      <c r="Y57" s="102">
        <f aca="true" t="shared" si="40" ref="Y57:AA59">E57+J57+O57+T57</f>
        <v>9</v>
      </c>
      <c r="Z57" s="102">
        <f t="shared" si="40"/>
        <v>0</v>
      </c>
      <c r="AA57" s="102">
        <f t="shared" si="40"/>
        <v>0</v>
      </c>
      <c r="AB57" s="102">
        <f aca="true" t="shared" si="41" ref="AB57:AB79">+M57+R57+W57+H57</f>
        <v>0</v>
      </c>
      <c r="AC57" s="151">
        <f aca="true" t="shared" si="42" ref="AC57:AC63">Y57+Z57+AA57</f>
        <v>9</v>
      </c>
    </row>
    <row r="58" spans="1:29" ht="12.75">
      <c r="A58" s="60">
        <v>45</v>
      </c>
      <c r="B58" s="152" t="s">
        <v>120</v>
      </c>
      <c r="C58" s="130">
        <v>61010300</v>
      </c>
      <c r="D58" s="69" t="s">
        <v>56</v>
      </c>
      <c r="E58" s="99"/>
      <c r="F58" s="99"/>
      <c r="G58" s="99"/>
      <c r="H58" s="99"/>
      <c r="I58" s="99">
        <f t="shared" si="36"/>
        <v>0</v>
      </c>
      <c r="J58" s="99"/>
      <c r="K58" s="99"/>
      <c r="L58" s="99"/>
      <c r="M58" s="99"/>
      <c r="N58" s="99">
        <f t="shared" si="37"/>
        <v>0</v>
      </c>
      <c r="O58" s="99">
        <f>16+1+1+11+1+8+1+4+5+4+2+2+1+1-4+2-1</f>
        <v>55</v>
      </c>
      <c r="P58" s="99"/>
      <c r="Q58" s="99"/>
      <c r="R58" s="99"/>
      <c r="S58" s="96">
        <f t="shared" si="38"/>
        <v>55</v>
      </c>
      <c r="T58" s="99"/>
      <c r="U58" s="99"/>
      <c r="V58" s="99"/>
      <c r="W58" s="99"/>
      <c r="X58" s="96">
        <f t="shared" si="39"/>
        <v>0</v>
      </c>
      <c r="Y58" s="102">
        <f t="shared" si="40"/>
        <v>55</v>
      </c>
      <c r="Z58" s="102">
        <f t="shared" si="40"/>
        <v>0</v>
      </c>
      <c r="AA58" s="102">
        <f t="shared" si="40"/>
        <v>0</v>
      </c>
      <c r="AB58" s="102">
        <f t="shared" si="41"/>
        <v>0</v>
      </c>
      <c r="AC58" s="151">
        <f t="shared" si="42"/>
        <v>55</v>
      </c>
    </row>
    <row r="59" spans="1:29" ht="12.75">
      <c r="A59" s="60">
        <v>46</v>
      </c>
      <c r="B59" s="152" t="s">
        <v>120</v>
      </c>
      <c r="C59" s="130">
        <v>61010300</v>
      </c>
      <c r="D59" s="69" t="s">
        <v>118</v>
      </c>
      <c r="E59" s="99"/>
      <c r="F59" s="99"/>
      <c r="G59" s="99"/>
      <c r="H59" s="99"/>
      <c r="I59" s="99">
        <f t="shared" si="36"/>
        <v>0</v>
      </c>
      <c r="J59" s="99"/>
      <c r="K59" s="99"/>
      <c r="L59" s="99"/>
      <c r="M59" s="99"/>
      <c r="N59" s="99">
        <f t="shared" si="37"/>
        <v>0</v>
      </c>
      <c r="O59" s="99">
        <f>7+1+2+1+4+1+4+1+2+4+1+2+1+1+1+1+7+1-1-1</f>
        <v>40</v>
      </c>
      <c r="P59" s="99"/>
      <c r="Q59" s="99"/>
      <c r="R59" s="99"/>
      <c r="S59" s="96">
        <f t="shared" si="38"/>
        <v>40</v>
      </c>
      <c r="T59" s="99"/>
      <c r="U59" s="99"/>
      <c r="V59" s="99"/>
      <c r="W59" s="99"/>
      <c r="X59" s="96">
        <f t="shared" si="39"/>
        <v>0</v>
      </c>
      <c r="Y59" s="102">
        <f t="shared" si="40"/>
        <v>40</v>
      </c>
      <c r="Z59" s="102">
        <f t="shared" si="40"/>
        <v>0</v>
      </c>
      <c r="AA59" s="102">
        <f t="shared" si="40"/>
        <v>0</v>
      </c>
      <c r="AB59" s="102">
        <f t="shared" si="41"/>
        <v>0</v>
      </c>
      <c r="AC59" s="151">
        <f t="shared" si="42"/>
        <v>40</v>
      </c>
    </row>
    <row r="60" spans="1:29" ht="12.75">
      <c r="A60" s="60">
        <v>47</v>
      </c>
      <c r="B60" s="152"/>
      <c r="C60" s="137">
        <v>60210500</v>
      </c>
      <c r="D60" s="65" t="s">
        <v>83</v>
      </c>
      <c r="E60" s="99"/>
      <c r="F60" s="99"/>
      <c r="G60" s="99"/>
      <c r="H60" s="96"/>
      <c r="I60" s="99">
        <f t="shared" si="36"/>
        <v>0</v>
      </c>
      <c r="J60" s="99"/>
      <c r="K60" s="99"/>
      <c r="L60" s="99"/>
      <c r="M60" s="96"/>
      <c r="N60" s="99">
        <f t="shared" si="37"/>
        <v>0</v>
      </c>
      <c r="O60" s="96">
        <f>5+2+10+6+1+1-2+1-1-1-1-1-1-1</f>
        <v>18</v>
      </c>
      <c r="P60" s="96"/>
      <c r="Q60" s="96"/>
      <c r="R60" s="96"/>
      <c r="S60" s="96">
        <f t="shared" si="38"/>
        <v>18</v>
      </c>
      <c r="T60" s="96">
        <f>1+4+4+23+1-1-1-1+1-1-1-2-1-2-1</f>
        <v>23</v>
      </c>
      <c r="U60" s="96"/>
      <c r="V60" s="96"/>
      <c r="W60" s="96"/>
      <c r="X60" s="96">
        <f t="shared" si="39"/>
        <v>23</v>
      </c>
      <c r="Y60" s="102">
        <f aca="true" t="shared" si="43" ref="Y60:AA63">E60+J60+O60+T60</f>
        <v>41</v>
      </c>
      <c r="Z60" s="102">
        <f t="shared" si="43"/>
        <v>0</v>
      </c>
      <c r="AA60" s="102">
        <f t="shared" si="43"/>
        <v>0</v>
      </c>
      <c r="AB60" s="102">
        <f t="shared" si="41"/>
        <v>0</v>
      </c>
      <c r="AC60" s="151">
        <f t="shared" si="42"/>
        <v>41</v>
      </c>
    </row>
    <row r="61" spans="1:29" ht="12.75">
      <c r="A61" s="60">
        <v>48</v>
      </c>
      <c r="B61" s="152"/>
      <c r="C61" s="137">
        <v>60211400</v>
      </c>
      <c r="D61" s="65" t="s">
        <v>84</v>
      </c>
      <c r="E61" s="99"/>
      <c r="F61" s="99"/>
      <c r="G61" s="99"/>
      <c r="H61" s="96"/>
      <c r="I61" s="99">
        <f t="shared" si="36"/>
        <v>0</v>
      </c>
      <c r="J61" s="99"/>
      <c r="K61" s="99"/>
      <c r="L61" s="99"/>
      <c r="M61" s="96"/>
      <c r="N61" s="99">
        <f t="shared" si="37"/>
        <v>0</v>
      </c>
      <c r="O61" s="96">
        <f>5+2+1+4+5+1-1</f>
        <v>17</v>
      </c>
      <c r="P61" s="96"/>
      <c r="Q61" s="96"/>
      <c r="R61" s="96"/>
      <c r="S61" s="96">
        <f t="shared" si="38"/>
        <v>17</v>
      </c>
      <c r="T61" s="96">
        <f>6+1+15+1+1+3+1+1+1+2+1-1-1-1-1</f>
        <v>29</v>
      </c>
      <c r="U61" s="96"/>
      <c r="V61" s="96"/>
      <c r="W61" s="96"/>
      <c r="X61" s="96">
        <f t="shared" si="39"/>
        <v>29</v>
      </c>
      <c r="Y61" s="102">
        <f t="shared" si="43"/>
        <v>46</v>
      </c>
      <c r="Z61" s="102">
        <f t="shared" si="43"/>
        <v>0</v>
      </c>
      <c r="AA61" s="102">
        <f t="shared" si="43"/>
        <v>0</v>
      </c>
      <c r="AB61" s="102">
        <f t="shared" si="41"/>
        <v>0</v>
      </c>
      <c r="AC61" s="151">
        <f t="shared" si="42"/>
        <v>46</v>
      </c>
    </row>
    <row r="62" spans="1:29" ht="12.75">
      <c r="A62" s="60">
        <v>49</v>
      </c>
      <c r="B62" s="152"/>
      <c r="C62" s="137">
        <v>60211500</v>
      </c>
      <c r="D62" s="52" t="s">
        <v>86</v>
      </c>
      <c r="E62" s="99"/>
      <c r="F62" s="99"/>
      <c r="G62" s="99"/>
      <c r="H62" s="96"/>
      <c r="I62" s="99">
        <f t="shared" si="36"/>
        <v>0</v>
      </c>
      <c r="J62" s="99"/>
      <c r="K62" s="99"/>
      <c r="L62" s="99"/>
      <c r="M62" s="96"/>
      <c r="N62" s="99">
        <f t="shared" si="37"/>
        <v>0</v>
      </c>
      <c r="O62" s="96">
        <f>6+1+5+3+3+2+2+2</f>
        <v>24</v>
      </c>
      <c r="P62" s="96"/>
      <c r="Q62" s="96"/>
      <c r="R62" s="96"/>
      <c r="S62" s="96">
        <f t="shared" si="38"/>
        <v>24</v>
      </c>
      <c r="T62" s="96">
        <f>6+4+16+1+3+2+1-1</f>
        <v>32</v>
      </c>
      <c r="U62" s="96"/>
      <c r="V62" s="96"/>
      <c r="W62" s="96"/>
      <c r="X62" s="96">
        <f t="shared" si="39"/>
        <v>32</v>
      </c>
      <c r="Y62" s="102">
        <f t="shared" si="43"/>
        <v>56</v>
      </c>
      <c r="Z62" s="102">
        <f t="shared" si="43"/>
        <v>0</v>
      </c>
      <c r="AA62" s="102">
        <f t="shared" si="43"/>
        <v>0</v>
      </c>
      <c r="AB62" s="102">
        <f t="shared" si="41"/>
        <v>0</v>
      </c>
      <c r="AC62" s="151">
        <f t="shared" si="42"/>
        <v>56</v>
      </c>
    </row>
    <row r="63" spans="1:29" ht="12.75">
      <c r="A63" s="60">
        <v>50</v>
      </c>
      <c r="B63" s="152"/>
      <c r="C63" s="137">
        <v>60210800</v>
      </c>
      <c r="D63" s="65" t="s">
        <v>85</v>
      </c>
      <c r="E63" s="99"/>
      <c r="F63" s="99"/>
      <c r="G63" s="99"/>
      <c r="H63" s="96"/>
      <c r="I63" s="99">
        <f t="shared" si="36"/>
        <v>0</v>
      </c>
      <c r="J63" s="99"/>
      <c r="K63" s="99"/>
      <c r="L63" s="99"/>
      <c r="M63" s="96"/>
      <c r="N63" s="99">
        <f t="shared" si="37"/>
        <v>0</v>
      </c>
      <c r="O63" s="96">
        <f>6+3+2+2+1-1</f>
        <v>13</v>
      </c>
      <c r="P63" s="96"/>
      <c r="Q63" s="96"/>
      <c r="R63" s="96"/>
      <c r="S63" s="96">
        <f t="shared" si="38"/>
        <v>13</v>
      </c>
      <c r="T63" s="96">
        <f>7+2+17+1+1-1-1-1-1+1</f>
        <v>25</v>
      </c>
      <c r="U63" s="96"/>
      <c r="V63" s="96"/>
      <c r="W63" s="96"/>
      <c r="X63" s="96">
        <f t="shared" si="39"/>
        <v>25</v>
      </c>
      <c r="Y63" s="102">
        <f t="shared" si="43"/>
        <v>38</v>
      </c>
      <c r="Z63" s="102">
        <f t="shared" si="43"/>
        <v>0</v>
      </c>
      <c r="AA63" s="102">
        <f t="shared" si="43"/>
        <v>0</v>
      </c>
      <c r="AB63" s="102">
        <f t="shared" si="41"/>
        <v>0</v>
      </c>
      <c r="AC63" s="151">
        <f t="shared" si="42"/>
        <v>38</v>
      </c>
    </row>
    <row r="64" spans="1:29" ht="12.75">
      <c r="A64" s="60">
        <v>51</v>
      </c>
      <c r="B64" s="152" t="s">
        <v>120</v>
      </c>
      <c r="C64" s="136">
        <v>60110500</v>
      </c>
      <c r="D64" s="93" t="s">
        <v>112</v>
      </c>
      <c r="E64" s="99"/>
      <c r="F64" s="96"/>
      <c r="G64" s="96"/>
      <c r="H64" s="96"/>
      <c r="I64" s="96">
        <f>E64+F64+G64</f>
        <v>0</v>
      </c>
      <c r="J64" s="99"/>
      <c r="K64" s="96"/>
      <c r="L64" s="96"/>
      <c r="M64" s="96"/>
      <c r="N64" s="96">
        <f>J64+K64+L64</f>
        <v>0</v>
      </c>
      <c r="O64" s="99"/>
      <c r="P64" s="96"/>
      <c r="Q64" s="96"/>
      <c r="R64" s="96"/>
      <c r="S64" s="96">
        <f>O64+P64+Q64</f>
        <v>0</v>
      </c>
      <c r="T64" s="99">
        <f>3+32+1+1+133+21+33+2+53+5+7+1-1+1-8-1-2-3+18-8-1+7+2-7+1+1+6-2+1-1+2-1-1-1-1+3+1+1+6-1-1-1-1-1+1-1+4-6-1+1+10-2-1+10+1-2+1+1+1-2+1-1-3-7-7+1-1-2-1-2+1+6+1-4+1+1+1+5+1</f>
        <v>305</v>
      </c>
      <c r="U64" s="96">
        <f>6+22+2+2+1+3+1+3+3+7-1-1</f>
        <v>48</v>
      </c>
      <c r="V64" s="96">
        <f>5+17+2+4+3-1+1+7</f>
        <v>38</v>
      </c>
      <c r="W64" s="96"/>
      <c r="X64" s="96">
        <f>T64+U64+V64</f>
        <v>391</v>
      </c>
      <c r="Y64" s="102">
        <f>E64+J64+O64+T64</f>
        <v>305</v>
      </c>
      <c r="Z64" s="102">
        <f>F64+K64+P64+U64</f>
        <v>48</v>
      </c>
      <c r="AA64" s="102">
        <f>G64+L64+Q64+V64</f>
        <v>38</v>
      </c>
      <c r="AB64" s="102">
        <f t="shared" si="41"/>
        <v>0</v>
      </c>
      <c r="AC64" s="151">
        <f>Y64+Z64+AA64</f>
        <v>391</v>
      </c>
    </row>
    <row r="65" spans="1:29" s="194" customFormat="1" ht="12.75">
      <c r="A65" s="199">
        <v>10</v>
      </c>
      <c r="B65" s="197"/>
      <c r="C65" s="198"/>
      <c r="D65" s="196" t="s">
        <v>38</v>
      </c>
      <c r="E65" s="198">
        <f>+E66+E67+E68</f>
        <v>122</v>
      </c>
      <c r="F65" s="198">
        <f aca="true" t="shared" si="44" ref="F65:AC65">+F66+F67+F68</f>
        <v>11</v>
      </c>
      <c r="G65" s="198">
        <f t="shared" si="44"/>
        <v>0</v>
      </c>
      <c r="H65" s="198">
        <f>+H66+H67+H68</f>
        <v>0</v>
      </c>
      <c r="I65" s="198">
        <f t="shared" si="44"/>
        <v>133</v>
      </c>
      <c r="J65" s="198">
        <f t="shared" si="44"/>
        <v>239</v>
      </c>
      <c r="K65" s="198">
        <f t="shared" si="44"/>
        <v>0</v>
      </c>
      <c r="L65" s="198">
        <f t="shared" si="44"/>
        <v>0</v>
      </c>
      <c r="M65" s="198">
        <f>+M66+M67+M68</f>
        <v>0</v>
      </c>
      <c r="N65" s="198">
        <f t="shared" si="44"/>
        <v>239</v>
      </c>
      <c r="O65" s="198">
        <f t="shared" si="44"/>
        <v>257</v>
      </c>
      <c r="P65" s="198">
        <f t="shared" si="44"/>
        <v>25</v>
      </c>
      <c r="Q65" s="198">
        <f t="shared" si="44"/>
        <v>0</v>
      </c>
      <c r="R65" s="198">
        <f>+R66+R67+R68</f>
        <v>0</v>
      </c>
      <c r="S65" s="198">
        <f t="shared" si="44"/>
        <v>282</v>
      </c>
      <c r="T65" s="198">
        <f t="shared" si="44"/>
        <v>346</v>
      </c>
      <c r="U65" s="198">
        <f t="shared" si="44"/>
        <v>33</v>
      </c>
      <c r="V65" s="198">
        <f t="shared" si="44"/>
        <v>20</v>
      </c>
      <c r="W65" s="198">
        <f t="shared" si="44"/>
        <v>0</v>
      </c>
      <c r="X65" s="198">
        <f t="shared" si="44"/>
        <v>399</v>
      </c>
      <c r="Y65" s="198">
        <f t="shared" si="44"/>
        <v>964</v>
      </c>
      <c r="Z65" s="198">
        <f t="shared" si="44"/>
        <v>69</v>
      </c>
      <c r="AA65" s="198">
        <f t="shared" si="44"/>
        <v>20</v>
      </c>
      <c r="AB65" s="198">
        <f t="shared" si="44"/>
        <v>0</v>
      </c>
      <c r="AC65" s="198">
        <f t="shared" si="44"/>
        <v>1053</v>
      </c>
    </row>
    <row r="66" spans="1:29" ht="12.75">
      <c r="A66" s="60">
        <v>52</v>
      </c>
      <c r="B66" s="150" t="s">
        <v>72</v>
      </c>
      <c r="C66" s="136">
        <v>60220300</v>
      </c>
      <c r="D66" s="52" t="s">
        <v>17</v>
      </c>
      <c r="E66" s="96">
        <f>1+22+20+2+6+14+10+12+7+1</f>
        <v>95</v>
      </c>
      <c r="F66" s="96">
        <f>5+1+1+3+1</f>
        <v>11</v>
      </c>
      <c r="G66" s="96"/>
      <c r="H66" s="133"/>
      <c r="I66" s="96">
        <f>E66+F66+G66</f>
        <v>106</v>
      </c>
      <c r="J66" s="96">
        <f>35+98+21+20+1+13+13+2+6-1+1-1-2-7+10+7-1-1</f>
        <v>214</v>
      </c>
      <c r="K66" s="96"/>
      <c r="L66" s="96"/>
      <c r="M66" s="96"/>
      <c r="N66" s="96">
        <f>J66+K66+L66</f>
        <v>214</v>
      </c>
      <c r="O66" s="96">
        <f>19+2+2+2+3+3+18+8+7+28-1+1+54+2+3+9+4+1+2+1+2+1-2+1-1-1-1+35+1-1+1+11-1+2+3+1-1+1-1+5-1+1-2-1-7+14-1</f>
        <v>226</v>
      </c>
      <c r="P66" s="96">
        <f>5+10+1+1+6+3+1+1+1-1-1-1-1</f>
        <v>25</v>
      </c>
      <c r="Q66" s="96"/>
      <c r="R66" s="99"/>
      <c r="S66" s="96">
        <f>O66+P66+Q66</f>
        <v>251</v>
      </c>
      <c r="T66" s="96">
        <f>5+15+1+1+56+2+12+34+1-1+4+5+1+1+1+1+1+1+1-2-1-1+7+2+1+1+1+6+1+3-1-1+1-2+4-3-1-1+1+3-1+4-15-3</f>
        <v>145</v>
      </c>
      <c r="U66" s="96">
        <f>4+15+2+1+2+2-1+1-1-4+15-1-1-1</f>
        <v>33</v>
      </c>
      <c r="V66" s="96"/>
      <c r="W66" s="99"/>
      <c r="X66" s="96">
        <f>T66+U66+V66</f>
        <v>178</v>
      </c>
      <c r="Y66" s="102">
        <f aca="true" t="shared" si="45" ref="Y66:AA68">E66+J66+O66+T66</f>
        <v>680</v>
      </c>
      <c r="Z66" s="102">
        <f t="shared" si="45"/>
        <v>69</v>
      </c>
      <c r="AA66" s="102">
        <f t="shared" si="45"/>
        <v>0</v>
      </c>
      <c r="AB66" s="102">
        <f t="shared" si="41"/>
        <v>0</v>
      </c>
      <c r="AC66" s="151">
        <f>Y66+Z66+AA66</f>
        <v>749</v>
      </c>
    </row>
    <row r="67" spans="1:29" ht="12.75">
      <c r="A67" s="60">
        <v>53</v>
      </c>
      <c r="B67" s="150" t="s">
        <v>72</v>
      </c>
      <c r="C67" s="136">
        <v>60220400</v>
      </c>
      <c r="D67" s="69" t="s">
        <v>24</v>
      </c>
      <c r="E67" s="96">
        <f>10+3+2+1+8+3</f>
        <v>27</v>
      </c>
      <c r="F67" s="96"/>
      <c r="G67" s="96"/>
      <c r="H67" s="96"/>
      <c r="I67" s="96">
        <f>E67+F67+G67</f>
        <v>27</v>
      </c>
      <c r="J67" s="96">
        <f>10+3+7+6-1+1-1</f>
        <v>25</v>
      </c>
      <c r="K67" s="96"/>
      <c r="L67" s="96"/>
      <c r="M67" s="96"/>
      <c r="N67" s="96">
        <f>J67+K67+L67</f>
        <v>25</v>
      </c>
      <c r="O67" s="96">
        <f>10+11+1+2+4+3+3+1+1-1-1-2-1</f>
        <v>31</v>
      </c>
      <c r="P67" s="96"/>
      <c r="Q67" s="96"/>
      <c r="R67" s="96"/>
      <c r="S67" s="96">
        <f>O67+P67+Q67</f>
        <v>31</v>
      </c>
      <c r="T67" s="96">
        <f>8+1+19+4+1+8-1+2+1-4-1-1-1</f>
        <v>36</v>
      </c>
      <c r="U67" s="96"/>
      <c r="V67" s="96"/>
      <c r="W67" s="96"/>
      <c r="X67" s="96">
        <f>T67+U67+V67</f>
        <v>36</v>
      </c>
      <c r="Y67" s="102">
        <f t="shared" si="45"/>
        <v>119</v>
      </c>
      <c r="Z67" s="102">
        <f t="shared" si="45"/>
        <v>0</v>
      </c>
      <c r="AA67" s="102">
        <f t="shared" si="45"/>
        <v>0</v>
      </c>
      <c r="AB67" s="102">
        <f t="shared" si="41"/>
        <v>0</v>
      </c>
      <c r="AC67" s="151">
        <f>Y67+Z67+AA67</f>
        <v>119</v>
      </c>
    </row>
    <row r="68" spans="1:29" ht="12.75">
      <c r="A68" s="60">
        <v>54</v>
      </c>
      <c r="B68" s="152" t="s">
        <v>120</v>
      </c>
      <c r="C68" s="136">
        <v>60111100</v>
      </c>
      <c r="D68" s="93" t="s">
        <v>17</v>
      </c>
      <c r="E68" s="99"/>
      <c r="F68" s="99"/>
      <c r="G68" s="99"/>
      <c r="H68" s="99"/>
      <c r="I68" s="96">
        <f>E68+F68+G68</f>
        <v>0</v>
      </c>
      <c r="J68" s="99"/>
      <c r="K68" s="99"/>
      <c r="L68" s="99"/>
      <c r="M68" s="99"/>
      <c r="N68" s="96">
        <f>J68+K68+L68</f>
        <v>0</v>
      </c>
      <c r="O68" s="99"/>
      <c r="P68" s="99"/>
      <c r="Q68" s="99"/>
      <c r="R68" s="99"/>
      <c r="S68" s="96">
        <f>O68+P68+Q68</f>
        <v>0</v>
      </c>
      <c r="T68" s="99">
        <f>2+11+4+5+55+8+1+36+42-1-3+5-1+3-1+2-1+1-3-1-1+2+1-1+1-1-1-1+1-1-4-1+4+1-4+3+4-1-2+12-1-1+2-1+1-10</f>
        <v>165</v>
      </c>
      <c r="U68" s="99"/>
      <c r="V68" s="99">
        <f>5+10+1+1+3+1+1-2</f>
        <v>20</v>
      </c>
      <c r="W68" s="99"/>
      <c r="X68" s="96">
        <f>T68+U68+V68</f>
        <v>185</v>
      </c>
      <c r="Y68" s="102">
        <f t="shared" si="45"/>
        <v>165</v>
      </c>
      <c r="Z68" s="102">
        <f t="shared" si="45"/>
        <v>0</v>
      </c>
      <c r="AA68" s="102">
        <f t="shared" si="45"/>
        <v>20</v>
      </c>
      <c r="AB68" s="102">
        <f t="shared" si="41"/>
        <v>0</v>
      </c>
      <c r="AC68" s="151">
        <f>Y68+Z68+AA68</f>
        <v>185</v>
      </c>
    </row>
    <row r="69" spans="1:29" s="194" customFormat="1" ht="12.75">
      <c r="A69" s="199">
        <v>11</v>
      </c>
      <c r="B69" s="197"/>
      <c r="C69" s="198"/>
      <c r="D69" s="204" t="s">
        <v>117</v>
      </c>
      <c r="E69" s="198">
        <f>+E70</f>
        <v>0</v>
      </c>
      <c r="F69" s="198">
        <f aca="true" t="shared" si="46" ref="F69:AC69">+F70</f>
        <v>0</v>
      </c>
      <c r="G69" s="198">
        <f t="shared" si="46"/>
        <v>0</v>
      </c>
      <c r="H69" s="198">
        <f t="shared" si="46"/>
        <v>5</v>
      </c>
      <c r="I69" s="198">
        <f t="shared" si="46"/>
        <v>0</v>
      </c>
      <c r="J69" s="198">
        <f t="shared" si="46"/>
        <v>153</v>
      </c>
      <c r="K69" s="198">
        <f t="shared" si="46"/>
        <v>0</v>
      </c>
      <c r="L69" s="198">
        <f t="shared" si="46"/>
        <v>0</v>
      </c>
      <c r="M69" s="198">
        <f t="shared" si="46"/>
        <v>5</v>
      </c>
      <c r="N69" s="198">
        <f t="shared" si="46"/>
        <v>153</v>
      </c>
      <c r="O69" s="198">
        <f t="shared" si="46"/>
        <v>194</v>
      </c>
      <c r="P69" s="198">
        <f t="shared" si="46"/>
        <v>0</v>
      </c>
      <c r="Q69" s="198">
        <f t="shared" si="46"/>
        <v>0</v>
      </c>
      <c r="R69" s="198">
        <f t="shared" si="46"/>
        <v>3</v>
      </c>
      <c r="S69" s="198">
        <f t="shared" si="46"/>
        <v>194</v>
      </c>
      <c r="T69" s="198">
        <f t="shared" si="46"/>
        <v>109</v>
      </c>
      <c r="U69" s="198">
        <f t="shared" si="46"/>
        <v>41</v>
      </c>
      <c r="V69" s="198">
        <f t="shared" si="46"/>
        <v>0</v>
      </c>
      <c r="W69" s="198">
        <f t="shared" si="46"/>
        <v>0</v>
      </c>
      <c r="X69" s="198">
        <f t="shared" si="46"/>
        <v>150</v>
      </c>
      <c r="Y69" s="198">
        <f t="shared" si="46"/>
        <v>456</v>
      </c>
      <c r="Z69" s="198">
        <f t="shared" si="46"/>
        <v>41</v>
      </c>
      <c r="AA69" s="198">
        <f t="shared" si="46"/>
        <v>0</v>
      </c>
      <c r="AB69" s="198">
        <f t="shared" si="46"/>
        <v>13</v>
      </c>
      <c r="AC69" s="198">
        <f t="shared" si="46"/>
        <v>497</v>
      </c>
    </row>
    <row r="70" spans="1:29" ht="12.75">
      <c r="A70" s="60">
        <v>55</v>
      </c>
      <c r="B70" s="155" t="s">
        <v>113</v>
      </c>
      <c r="C70" s="136">
        <v>60420100</v>
      </c>
      <c r="D70" s="65" t="s">
        <v>106</v>
      </c>
      <c r="E70" s="96"/>
      <c r="F70" s="96"/>
      <c r="G70" s="96"/>
      <c r="H70" s="96">
        <v>5</v>
      </c>
      <c r="I70" s="96">
        <f>E70+F70+G70</f>
        <v>0</v>
      </c>
      <c r="J70" s="96">
        <f>69-1+32+10+27+9+1+2+4+3+3+1-1-1+1-1-5</f>
        <v>153</v>
      </c>
      <c r="K70" s="96"/>
      <c r="L70" s="96"/>
      <c r="M70" s="96">
        <v>5</v>
      </c>
      <c r="N70" s="96">
        <f>J70+K70+L70</f>
        <v>153</v>
      </c>
      <c r="O70" s="96">
        <f>58+41+23+1-1+16+3+1+14+1+2+1+1-1-1+2+1-4-1+1-1+1+25+2-1-1+14+3-1-5</f>
        <v>194</v>
      </c>
      <c r="P70" s="96"/>
      <c r="Q70" s="96"/>
      <c r="R70" s="96">
        <v>3</v>
      </c>
      <c r="S70" s="96">
        <f>O70+P70+Q70</f>
        <v>194</v>
      </c>
      <c r="T70" s="96">
        <f>7+38+3+40-1-1+3+1+4+14-2+1+2+3-4-1-1-1+3+1</f>
        <v>109</v>
      </c>
      <c r="U70" s="96">
        <f>2+10+17+6+17+1-1-1-2-3-1-1-3</f>
        <v>41</v>
      </c>
      <c r="V70" s="96"/>
      <c r="W70" s="96"/>
      <c r="X70" s="96">
        <f>T70+U70+V70</f>
        <v>150</v>
      </c>
      <c r="Y70" s="102">
        <f>E70+J70+O70+T70</f>
        <v>456</v>
      </c>
      <c r="Z70" s="102">
        <f>F70+K70+P70+U70</f>
        <v>41</v>
      </c>
      <c r="AA70" s="102">
        <f>G70+L70+Q70+V70</f>
        <v>0</v>
      </c>
      <c r="AB70" s="102">
        <f t="shared" si="41"/>
        <v>13</v>
      </c>
      <c r="AC70" s="151">
        <f>Y70+Z70+AA70</f>
        <v>497</v>
      </c>
    </row>
    <row r="71" spans="1:29" s="194" customFormat="1" ht="21">
      <c r="A71" s="199">
        <v>12</v>
      </c>
      <c r="B71" s="197"/>
      <c r="C71" s="198"/>
      <c r="D71" s="205" t="s">
        <v>134</v>
      </c>
      <c r="E71" s="198">
        <f>+E72+E73+E74+E75+E76+E77+E78+E79</f>
        <v>150</v>
      </c>
      <c r="F71" s="198">
        <f aca="true" t="shared" si="47" ref="F71:AC71">+F72+F73+F74+F75+F76+F77+F78+F79</f>
        <v>0</v>
      </c>
      <c r="G71" s="198">
        <f t="shared" si="47"/>
        <v>0</v>
      </c>
      <c r="H71" s="198">
        <f>+H72+H73+H74+H75+H76+H77+H78+H79</f>
        <v>2</v>
      </c>
      <c r="I71" s="198">
        <f t="shared" si="47"/>
        <v>150</v>
      </c>
      <c r="J71" s="198">
        <f t="shared" si="47"/>
        <v>128</v>
      </c>
      <c r="K71" s="198">
        <f t="shared" si="47"/>
        <v>0</v>
      </c>
      <c r="L71" s="198">
        <f t="shared" si="47"/>
        <v>0</v>
      </c>
      <c r="M71" s="198">
        <f>+M72+M73+M74+M75+M76+M77+M78+M79</f>
        <v>0</v>
      </c>
      <c r="N71" s="198">
        <f t="shared" si="47"/>
        <v>128</v>
      </c>
      <c r="O71" s="198">
        <f t="shared" si="47"/>
        <v>125</v>
      </c>
      <c r="P71" s="198">
        <f t="shared" si="47"/>
        <v>0</v>
      </c>
      <c r="Q71" s="198">
        <f t="shared" si="47"/>
        <v>0</v>
      </c>
      <c r="R71" s="198">
        <f>+R72+R73+R74+R75+R76+R77+R78+R79</f>
        <v>0</v>
      </c>
      <c r="S71" s="198">
        <f t="shared" si="47"/>
        <v>125</v>
      </c>
      <c r="T71" s="198">
        <f t="shared" si="47"/>
        <v>144</v>
      </c>
      <c r="U71" s="198">
        <f t="shared" si="47"/>
        <v>0</v>
      </c>
      <c r="V71" s="198">
        <f t="shared" si="47"/>
        <v>0</v>
      </c>
      <c r="W71" s="198">
        <f t="shared" si="47"/>
        <v>0</v>
      </c>
      <c r="X71" s="198">
        <f t="shared" si="47"/>
        <v>144</v>
      </c>
      <c r="Y71" s="198">
        <f t="shared" si="47"/>
        <v>547</v>
      </c>
      <c r="Z71" s="198">
        <f t="shared" si="47"/>
        <v>0</v>
      </c>
      <c r="AA71" s="198">
        <f t="shared" si="47"/>
        <v>0</v>
      </c>
      <c r="AB71" s="198">
        <f t="shared" si="47"/>
        <v>2</v>
      </c>
      <c r="AC71" s="198">
        <f t="shared" si="47"/>
        <v>547</v>
      </c>
    </row>
    <row r="72" spans="1:29" ht="12.75">
      <c r="A72" s="60">
        <v>56</v>
      </c>
      <c r="B72" s="150" t="s">
        <v>73</v>
      </c>
      <c r="C72" s="136">
        <v>60812100</v>
      </c>
      <c r="D72" s="52" t="s">
        <v>68</v>
      </c>
      <c r="E72" s="96"/>
      <c r="F72" s="96"/>
      <c r="G72" s="96"/>
      <c r="H72" s="96"/>
      <c r="I72" s="96">
        <f aca="true" t="shared" si="48" ref="I72:I77">E72+F72+G72</f>
        <v>0</v>
      </c>
      <c r="J72" s="96">
        <f>5+4+1-1+1+1+1+1+8-1-1-1-1</f>
        <v>17</v>
      </c>
      <c r="K72" s="96"/>
      <c r="L72" s="96"/>
      <c r="M72" s="135"/>
      <c r="N72" s="96">
        <f aca="true" t="shared" si="49" ref="N72:N79">J72+K72+L72</f>
        <v>17</v>
      </c>
      <c r="O72" s="96"/>
      <c r="P72" s="96"/>
      <c r="Q72" s="96"/>
      <c r="R72" s="96"/>
      <c r="S72" s="96">
        <f aca="true" t="shared" si="50" ref="S72:S79">O72+P72+Q72</f>
        <v>0</v>
      </c>
      <c r="T72" s="96"/>
      <c r="U72" s="96"/>
      <c r="V72" s="96"/>
      <c r="W72" s="96"/>
      <c r="X72" s="96">
        <f aca="true" t="shared" si="51" ref="X72:X79">T72+U72+V72</f>
        <v>0</v>
      </c>
      <c r="Y72" s="102">
        <f aca="true" t="shared" si="52" ref="Y72:Y79">E72+J72+O72+T72</f>
        <v>17</v>
      </c>
      <c r="Z72" s="102">
        <f aca="true" t="shared" si="53" ref="Z72:Z79">F72+K72+P72+U72</f>
        <v>0</v>
      </c>
      <c r="AA72" s="102">
        <f aca="true" t="shared" si="54" ref="AA72:AA79">G72+L72+Q72+V72</f>
        <v>0</v>
      </c>
      <c r="AB72" s="102">
        <f t="shared" si="41"/>
        <v>0</v>
      </c>
      <c r="AC72" s="151">
        <f aca="true" t="shared" si="55" ref="AC72:AC78">Y72+Z72+AA72</f>
        <v>17</v>
      </c>
    </row>
    <row r="73" spans="1:29" ht="12.75">
      <c r="A73" s="60">
        <v>57</v>
      </c>
      <c r="B73" s="150" t="s">
        <v>89</v>
      </c>
      <c r="C73" s="143">
        <v>60820100</v>
      </c>
      <c r="D73" s="142" t="s">
        <v>139</v>
      </c>
      <c r="E73" s="96">
        <f>5+1+5+4</f>
        <v>15</v>
      </c>
      <c r="F73" s="96"/>
      <c r="G73" s="96"/>
      <c r="H73" s="96"/>
      <c r="I73" s="96">
        <f t="shared" si="48"/>
        <v>15</v>
      </c>
      <c r="J73" s="96"/>
      <c r="K73" s="96"/>
      <c r="L73" s="96"/>
      <c r="M73" s="96"/>
      <c r="N73" s="96">
        <f t="shared" si="49"/>
        <v>0</v>
      </c>
      <c r="O73" s="96"/>
      <c r="P73" s="96"/>
      <c r="Q73" s="96"/>
      <c r="R73" s="96"/>
      <c r="S73" s="96">
        <f t="shared" si="50"/>
        <v>0</v>
      </c>
      <c r="T73" s="96">
        <v>0</v>
      </c>
      <c r="U73" s="96"/>
      <c r="V73" s="96"/>
      <c r="W73" s="96"/>
      <c r="X73" s="96">
        <f t="shared" si="51"/>
        <v>0</v>
      </c>
      <c r="Y73" s="102">
        <f t="shared" si="52"/>
        <v>15</v>
      </c>
      <c r="Z73" s="102">
        <f t="shared" si="53"/>
        <v>0</v>
      </c>
      <c r="AA73" s="102">
        <f t="shared" si="54"/>
        <v>0</v>
      </c>
      <c r="AB73" s="102">
        <f t="shared" si="41"/>
        <v>0</v>
      </c>
      <c r="AC73" s="151">
        <f t="shared" si="55"/>
        <v>15</v>
      </c>
    </row>
    <row r="74" spans="1:29" ht="12.75">
      <c r="A74" s="60">
        <v>58</v>
      </c>
      <c r="B74" s="150" t="s">
        <v>89</v>
      </c>
      <c r="C74" s="136">
        <v>60810700</v>
      </c>
      <c r="D74" s="65" t="s">
        <v>80</v>
      </c>
      <c r="E74" s="96">
        <f>50+1+3-1+1+6+6-8</f>
        <v>58</v>
      </c>
      <c r="F74" s="96"/>
      <c r="G74" s="96"/>
      <c r="H74" s="96"/>
      <c r="I74" s="96">
        <f t="shared" si="48"/>
        <v>58</v>
      </c>
      <c r="J74" s="96">
        <f>15+2+2-3+9+1+1-3+4+1-1-1</f>
        <v>27</v>
      </c>
      <c r="K74" s="96"/>
      <c r="L74" s="96"/>
      <c r="M74" s="96"/>
      <c r="N74" s="96">
        <f t="shared" si="49"/>
        <v>27</v>
      </c>
      <c r="O74" s="96">
        <f>17+7+3+4+4-1+2+5+1+1-1+2+1-2-6-1+3+2+1-1-2+1-1-1</f>
        <v>38</v>
      </c>
      <c r="P74" s="96"/>
      <c r="Q74" s="96"/>
      <c r="R74" s="96"/>
      <c r="S74" s="96">
        <f t="shared" si="50"/>
        <v>38</v>
      </c>
      <c r="T74" s="96">
        <f>1+11+32+5+1+3+1-1-1-6-1-1-2+9+1+3+3+1+2+1-2-3-1-2-5-1-2+1-1-1-1+1-1+1-1-1-1</f>
        <v>42</v>
      </c>
      <c r="U74" s="96"/>
      <c r="V74" s="96"/>
      <c r="W74" s="96"/>
      <c r="X74" s="96">
        <f t="shared" si="51"/>
        <v>42</v>
      </c>
      <c r="Y74" s="102">
        <f t="shared" si="52"/>
        <v>165</v>
      </c>
      <c r="Z74" s="102">
        <f t="shared" si="53"/>
        <v>0</v>
      </c>
      <c r="AA74" s="102">
        <f t="shared" si="54"/>
        <v>0</v>
      </c>
      <c r="AB74" s="102">
        <f t="shared" si="41"/>
        <v>0</v>
      </c>
      <c r="AC74" s="151">
        <f t="shared" si="55"/>
        <v>165</v>
      </c>
    </row>
    <row r="75" spans="1:29" ht="22.5">
      <c r="A75" s="60">
        <v>59</v>
      </c>
      <c r="B75" s="152" t="s">
        <v>115</v>
      </c>
      <c r="C75" s="136">
        <v>60811000</v>
      </c>
      <c r="D75" s="93" t="s">
        <v>107</v>
      </c>
      <c r="E75" s="96">
        <f>20+1+8+4+1-2</f>
        <v>32</v>
      </c>
      <c r="F75" s="96"/>
      <c r="G75" s="96"/>
      <c r="H75" s="96">
        <v>1</v>
      </c>
      <c r="I75" s="96">
        <f t="shared" si="48"/>
        <v>32</v>
      </c>
      <c r="J75" s="96">
        <f>9+3+3+7+3+2+1-1+3+2-1-2-3</f>
        <v>26</v>
      </c>
      <c r="K75" s="96"/>
      <c r="L75" s="96"/>
      <c r="M75" s="96"/>
      <c r="N75" s="96">
        <f t="shared" si="49"/>
        <v>26</v>
      </c>
      <c r="O75" s="96">
        <f>15+5+4+2+8+1+2+4+1+1+2+1-1-5-5+1-1-1+3+1+1+1-1+3-1-1-1+2-1</f>
        <v>40</v>
      </c>
      <c r="P75" s="96"/>
      <c r="Q75" s="96"/>
      <c r="R75" s="96"/>
      <c r="S75" s="96">
        <f t="shared" si="50"/>
        <v>40</v>
      </c>
      <c r="T75" s="96">
        <f>10+34+6+1+6+2+1-1-2-3+1-2+2-1-3+2+1+2-4-2-1-1-1</f>
        <v>47</v>
      </c>
      <c r="U75" s="96"/>
      <c r="V75" s="96"/>
      <c r="W75" s="96"/>
      <c r="X75" s="96">
        <f t="shared" si="51"/>
        <v>47</v>
      </c>
      <c r="Y75" s="102">
        <f t="shared" si="52"/>
        <v>145</v>
      </c>
      <c r="Z75" s="102">
        <f t="shared" si="53"/>
        <v>0</v>
      </c>
      <c r="AA75" s="102">
        <f t="shared" si="54"/>
        <v>0</v>
      </c>
      <c r="AB75" s="102">
        <f t="shared" si="41"/>
        <v>1</v>
      </c>
      <c r="AC75" s="151">
        <f t="shared" si="55"/>
        <v>145</v>
      </c>
    </row>
    <row r="76" spans="1:29" ht="22.5">
      <c r="A76" s="60">
        <v>60</v>
      </c>
      <c r="B76" s="152" t="s">
        <v>115</v>
      </c>
      <c r="C76" s="136">
        <v>60811800</v>
      </c>
      <c r="D76" s="93" t="s">
        <v>108</v>
      </c>
      <c r="E76" s="96">
        <f>15-1+4+2</f>
        <v>20</v>
      </c>
      <c r="F76" s="96"/>
      <c r="G76" s="96"/>
      <c r="H76" s="96"/>
      <c r="I76" s="96">
        <f t="shared" si="48"/>
        <v>20</v>
      </c>
      <c r="J76" s="96">
        <f>10+2+2-1+2+1+1-1-2-1-1</f>
        <v>12</v>
      </c>
      <c r="K76" s="96"/>
      <c r="L76" s="96"/>
      <c r="M76" s="96"/>
      <c r="N76" s="96">
        <f t="shared" si="49"/>
        <v>12</v>
      </c>
      <c r="O76" s="96">
        <f>10+4+3+1+2-1-1-1-3-1-1-1</f>
        <v>11</v>
      </c>
      <c r="P76" s="96"/>
      <c r="Q76" s="96"/>
      <c r="R76" s="96"/>
      <c r="S76" s="96">
        <f t="shared" si="50"/>
        <v>11</v>
      </c>
      <c r="T76" s="96">
        <f>10+10+4+3-1-2-1-1-1-1+1-1</f>
        <v>20</v>
      </c>
      <c r="U76" s="96"/>
      <c r="V76" s="96"/>
      <c r="W76" s="96"/>
      <c r="X76" s="96">
        <f t="shared" si="51"/>
        <v>20</v>
      </c>
      <c r="Y76" s="102">
        <f t="shared" si="52"/>
        <v>63</v>
      </c>
      <c r="Z76" s="102">
        <f t="shared" si="53"/>
        <v>0</v>
      </c>
      <c r="AA76" s="102">
        <f t="shared" si="54"/>
        <v>0</v>
      </c>
      <c r="AB76" s="102">
        <f t="shared" si="41"/>
        <v>0</v>
      </c>
      <c r="AC76" s="151">
        <f t="shared" si="55"/>
        <v>63</v>
      </c>
    </row>
    <row r="77" spans="1:29" ht="22.5">
      <c r="A77" s="60">
        <v>61</v>
      </c>
      <c r="B77" s="152" t="s">
        <v>115</v>
      </c>
      <c r="C77" s="136">
        <v>60811900</v>
      </c>
      <c r="D77" s="93" t="s">
        <v>109</v>
      </c>
      <c r="E77" s="96"/>
      <c r="F77" s="96"/>
      <c r="G77" s="96"/>
      <c r="H77" s="96"/>
      <c r="I77" s="96">
        <f t="shared" si="48"/>
        <v>0</v>
      </c>
      <c r="J77" s="96">
        <f>10+6+2+1+1+3-1-1-1-2-1-2</f>
        <v>15</v>
      </c>
      <c r="K77" s="96"/>
      <c r="L77" s="96"/>
      <c r="M77" s="96"/>
      <c r="N77" s="96">
        <f t="shared" si="49"/>
        <v>15</v>
      </c>
      <c r="O77" s="96">
        <f>10+4+5+3+2-1-1-2-1-1-1-1-1-1</f>
        <v>14</v>
      </c>
      <c r="P77" s="96"/>
      <c r="Q77" s="96"/>
      <c r="R77" s="96"/>
      <c r="S77" s="96">
        <f t="shared" si="50"/>
        <v>14</v>
      </c>
      <c r="T77" s="96">
        <f>10+11+3+1+1-1-1-1-2-1-1-1-1-1-1</f>
        <v>15</v>
      </c>
      <c r="U77" s="96"/>
      <c r="V77" s="96"/>
      <c r="W77" s="96"/>
      <c r="X77" s="96">
        <f t="shared" si="51"/>
        <v>15</v>
      </c>
      <c r="Y77" s="102">
        <f t="shared" si="52"/>
        <v>44</v>
      </c>
      <c r="Z77" s="102">
        <f t="shared" si="53"/>
        <v>0</v>
      </c>
      <c r="AA77" s="102">
        <f t="shared" si="54"/>
        <v>0</v>
      </c>
      <c r="AB77" s="102">
        <f t="shared" si="41"/>
        <v>0</v>
      </c>
      <c r="AC77" s="151">
        <f t="shared" si="55"/>
        <v>44</v>
      </c>
    </row>
    <row r="78" spans="1:29" ht="22.5">
      <c r="A78" s="60">
        <v>62</v>
      </c>
      <c r="B78" s="152" t="s">
        <v>115</v>
      </c>
      <c r="C78" s="136">
        <v>60812000</v>
      </c>
      <c r="D78" s="93" t="s">
        <v>110</v>
      </c>
      <c r="E78" s="96"/>
      <c r="F78" s="96"/>
      <c r="G78" s="96"/>
      <c r="H78" s="96">
        <v>1</v>
      </c>
      <c r="I78" s="96">
        <f>E78+F78+G78</f>
        <v>0</v>
      </c>
      <c r="J78" s="96">
        <f>10+1-1+3+2-1+1+2+2-1-1-1-1</f>
        <v>15</v>
      </c>
      <c r="K78" s="96"/>
      <c r="L78" s="96"/>
      <c r="M78" s="96"/>
      <c r="N78" s="96">
        <f t="shared" si="49"/>
        <v>15</v>
      </c>
      <c r="O78" s="96">
        <f>10+4+1+1+1-1+1+1-1+1+1-1+1+3</f>
        <v>22</v>
      </c>
      <c r="P78" s="96"/>
      <c r="Q78" s="96"/>
      <c r="R78" s="96"/>
      <c r="S78" s="96">
        <f t="shared" si="50"/>
        <v>22</v>
      </c>
      <c r="T78" s="96">
        <f>10+10-1+5+3+1-2+1-1-2-1-1-1+1-1-1</f>
        <v>20</v>
      </c>
      <c r="U78" s="96"/>
      <c r="V78" s="96"/>
      <c r="W78" s="96"/>
      <c r="X78" s="96">
        <f t="shared" si="51"/>
        <v>20</v>
      </c>
      <c r="Y78" s="102">
        <f t="shared" si="52"/>
        <v>57</v>
      </c>
      <c r="Z78" s="102">
        <f t="shared" si="53"/>
        <v>0</v>
      </c>
      <c r="AA78" s="102">
        <f t="shared" si="54"/>
        <v>0</v>
      </c>
      <c r="AB78" s="102">
        <f t="shared" si="41"/>
        <v>1</v>
      </c>
      <c r="AC78" s="151">
        <f t="shared" si="55"/>
        <v>57</v>
      </c>
    </row>
    <row r="79" spans="1:29" ht="22.5">
      <c r="A79" s="60">
        <v>63</v>
      </c>
      <c r="B79" s="152"/>
      <c r="C79" s="130">
        <v>60811200</v>
      </c>
      <c r="D79" s="93" t="s">
        <v>129</v>
      </c>
      <c r="E79" s="96">
        <f>20+2+3</f>
        <v>25</v>
      </c>
      <c r="F79" s="96"/>
      <c r="G79" s="96"/>
      <c r="H79" s="96"/>
      <c r="I79" s="96">
        <f>E79+F79+G79</f>
        <v>25</v>
      </c>
      <c r="J79" s="96">
        <f>5+3+2-1+2+2+1-1+2+5-2-1-1</f>
        <v>16</v>
      </c>
      <c r="K79" s="96"/>
      <c r="L79" s="96"/>
      <c r="M79" s="96"/>
      <c r="N79" s="96">
        <f t="shared" si="49"/>
        <v>16</v>
      </c>
      <c r="O79" s="96"/>
      <c r="P79" s="96"/>
      <c r="Q79" s="96"/>
      <c r="R79" s="96"/>
      <c r="S79" s="96">
        <f t="shared" si="50"/>
        <v>0</v>
      </c>
      <c r="T79" s="96"/>
      <c r="U79" s="96"/>
      <c r="V79" s="96"/>
      <c r="W79" s="96"/>
      <c r="X79" s="96">
        <f t="shared" si="51"/>
        <v>0</v>
      </c>
      <c r="Y79" s="102">
        <f t="shared" si="52"/>
        <v>41</v>
      </c>
      <c r="Z79" s="102">
        <f t="shared" si="53"/>
        <v>0</v>
      </c>
      <c r="AA79" s="102">
        <f t="shared" si="54"/>
        <v>0</v>
      </c>
      <c r="AB79" s="102">
        <f t="shared" si="41"/>
        <v>0</v>
      </c>
      <c r="AC79" s="151">
        <f>Y79+Z79+AA79</f>
        <v>41</v>
      </c>
    </row>
    <row r="80" spans="1:29" ht="13.5" customHeight="1">
      <c r="A80" s="95"/>
      <c r="B80" s="95"/>
      <c r="C80" s="100"/>
      <c r="D80" s="149" t="s">
        <v>18</v>
      </c>
      <c r="E80" s="100">
        <f>+E71+E69+E65+E56+E50+E44+E38+E30+E22+E14+E10+E5</f>
        <v>1691</v>
      </c>
      <c r="F80" s="100">
        <f aca="true" t="shared" si="56" ref="F80:AC80">+F71+F69+F65+F56+F50+F44+F38+F30+F22+F14+F10+F5</f>
        <v>135</v>
      </c>
      <c r="G80" s="100">
        <f t="shared" si="56"/>
        <v>26</v>
      </c>
      <c r="H80" s="100">
        <f>+H71+H69+H65+H56+H50+H44+H38+H30+H22+H14+H10+H5</f>
        <v>40</v>
      </c>
      <c r="I80" s="100">
        <f t="shared" si="56"/>
        <v>1852</v>
      </c>
      <c r="J80" s="100">
        <f t="shared" si="56"/>
        <v>1858</v>
      </c>
      <c r="K80" s="100">
        <f t="shared" si="56"/>
        <v>179</v>
      </c>
      <c r="L80" s="100">
        <f t="shared" si="56"/>
        <v>27</v>
      </c>
      <c r="M80" s="100">
        <f t="shared" si="56"/>
        <v>19</v>
      </c>
      <c r="N80" s="100">
        <f t="shared" si="56"/>
        <v>2064</v>
      </c>
      <c r="O80" s="100">
        <f t="shared" si="56"/>
        <v>2047</v>
      </c>
      <c r="P80" s="100">
        <f t="shared" si="56"/>
        <v>341</v>
      </c>
      <c r="Q80" s="100">
        <f t="shared" si="56"/>
        <v>49</v>
      </c>
      <c r="R80" s="100">
        <f t="shared" si="56"/>
        <v>13</v>
      </c>
      <c r="S80" s="100">
        <f t="shared" si="56"/>
        <v>2437</v>
      </c>
      <c r="T80" s="100">
        <f t="shared" si="56"/>
        <v>3159</v>
      </c>
      <c r="U80" s="100">
        <f t="shared" si="56"/>
        <v>814</v>
      </c>
      <c r="V80" s="100">
        <f t="shared" si="56"/>
        <v>167</v>
      </c>
      <c r="W80" s="100">
        <f t="shared" si="56"/>
        <v>4</v>
      </c>
      <c r="X80" s="100">
        <f t="shared" si="56"/>
        <v>4140</v>
      </c>
      <c r="Y80" s="100">
        <f t="shared" si="56"/>
        <v>8755</v>
      </c>
      <c r="Z80" s="100">
        <f t="shared" si="56"/>
        <v>1469</v>
      </c>
      <c r="AA80" s="100">
        <f t="shared" si="56"/>
        <v>269</v>
      </c>
      <c r="AB80" s="100">
        <f t="shared" si="56"/>
        <v>76</v>
      </c>
      <c r="AC80" s="100">
        <f t="shared" si="56"/>
        <v>10493</v>
      </c>
    </row>
    <row r="81" spans="1:29" ht="13.5" customHeight="1">
      <c r="A81" s="106"/>
      <c r="B81" s="106"/>
      <c r="C81" s="209"/>
      <c r="D81" s="10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</row>
    <row r="82" spans="1:29" s="68" customFormat="1" ht="13.5" customHeight="1">
      <c r="A82" s="79"/>
      <c r="B82" s="79"/>
      <c r="C82" s="210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</row>
    <row r="83" spans="1:29" ht="13.5">
      <c r="A83" s="82"/>
      <c r="B83" s="82"/>
      <c r="C83" s="139">
        <v>1</v>
      </c>
      <c r="D83" s="87" t="s">
        <v>72</v>
      </c>
      <c r="E83" s="92">
        <f>+AC23+AC24+AC26+AC27+AC66+AC67+AC55</f>
        <v>2287</v>
      </c>
      <c r="F83" s="85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3"/>
    </row>
    <row r="84" spans="3:6" ht="13.5">
      <c r="C84" s="140">
        <v>2</v>
      </c>
      <c r="D84" s="88" t="s">
        <v>94</v>
      </c>
      <c r="E84" s="92">
        <f>+AC7+AC16+AC28+AC29+AC33+AC37+AC42+AC58+AC59+AC68+AC17+AC64</f>
        <v>1781</v>
      </c>
      <c r="F84" s="85"/>
    </row>
    <row r="85" spans="3:6" ht="13.5">
      <c r="C85" s="140">
        <v>3</v>
      </c>
      <c r="D85" s="87" t="s">
        <v>121</v>
      </c>
      <c r="E85" s="92">
        <f>+AC53+AC51+AC54</f>
        <v>614</v>
      </c>
      <c r="F85" s="85"/>
    </row>
    <row r="86" spans="3:6" ht="13.5">
      <c r="C86" s="139">
        <v>4</v>
      </c>
      <c r="D86" s="87" t="s">
        <v>74</v>
      </c>
      <c r="E86" s="92">
        <f>+AC52</f>
        <v>175</v>
      </c>
      <c r="F86" s="85"/>
    </row>
    <row r="87" spans="3:6" ht="13.5">
      <c r="C87" s="140">
        <v>5</v>
      </c>
      <c r="D87" s="87" t="s">
        <v>88</v>
      </c>
      <c r="E87" s="92">
        <f>+AC45+AC49+AC46+AC48+AC47</f>
        <v>381</v>
      </c>
      <c r="F87" s="85"/>
    </row>
    <row r="88" spans="3:6" ht="13.5">
      <c r="C88" s="140">
        <v>6</v>
      </c>
      <c r="D88" s="87" t="s">
        <v>73</v>
      </c>
      <c r="E88" s="92">
        <f>+AC31+AC32</f>
        <v>857</v>
      </c>
      <c r="F88" s="188"/>
    </row>
    <row r="89" spans="3:6" ht="13.5">
      <c r="C89" s="139">
        <v>7</v>
      </c>
      <c r="D89" s="87" t="s">
        <v>89</v>
      </c>
      <c r="E89" s="92">
        <f>+AC15+AC18+AC34+AC40+AC43+AC41+AC35</f>
        <v>1350</v>
      </c>
      <c r="F89" s="85"/>
    </row>
    <row r="90" spans="3:6" ht="13.5">
      <c r="C90" s="140">
        <v>8</v>
      </c>
      <c r="D90" s="87" t="s">
        <v>90</v>
      </c>
      <c r="E90" s="92">
        <f>+AC61+AC62+AC60+AC63+AC57</f>
        <v>190</v>
      </c>
      <c r="F90" s="85"/>
    </row>
    <row r="91" spans="3:6" ht="13.5">
      <c r="C91" s="140">
        <v>9</v>
      </c>
      <c r="D91" s="87" t="s">
        <v>91</v>
      </c>
      <c r="E91" s="92">
        <f>+AC6+AC9+AC8</f>
        <v>979</v>
      </c>
      <c r="F91" s="85"/>
    </row>
    <row r="92" spans="3:6" ht="13.5">
      <c r="C92" s="139">
        <v>10</v>
      </c>
      <c r="D92" s="89" t="s">
        <v>92</v>
      </c>
      <c r="E92" s="92">
        <f>+AC36+AC21+AC19+AC13+AC11+AC12+AC20</f>
        <v>613</v>
      </c>
      <c r="F92" s="85"/>
    </row>
    <row r="93" spans="3:6" ht="13.5">
      <c r="C93" s="140">
        <v>11</v>
      </c>
      <c r="D93" s="89" t="s">
        <v>93</v>
      </c>
      <c r="E93" s="92">
        <f>+AC39</f>
        <v>159</v>
      </c>
      <c r="F93" s="85"/>
    </row>
    <row r="94" spans="3:6" ht="13.5">
      <c r="C94" s="139">
        <v>12</v>
      </c>
      <c r="D94" s="89" t="s">
        <v>113</v>
      </c>
      <c r="E94" s="92">
        <f>+AC69</f>
        <v>497</v>
      </c>
      <c r="F94" s="85"/>
    </row>
    <row r="95" spans="3:6" ht="13.5">
      <c r="C95" s="139">
        <v>13</v>
      </c>
      <c r="D95" s="89" t="s">
        <v>114</v>
      </c>
      <c r="E95" s="92">
        <f>+AC25</f>
        <v>63</v>
      </c>
      <c r="F95" s="85"/>
    </row>
    <row r="96" spans="3:6" ht="13.5">
      <c r="C96" s="139">
        <v>14</v>
      </c>
      <c r="D96" s="88" t="s">
        <v>115</v>
      </c>
      <c r="E96" s="92">
        <f>+AC71</f>
        <v>547</v>
      </c>
      <c r="F96" s="85"/>
    </row>
    <row r="97" ht="12.75">
      <c r="E97" s="59">
        <f>+E83+E84+E85+E86+E87+E88+E89+E90+E91+E92+E93+E94+E95+E96</f>
        <v>10493</v>
      </c>
    </row>
  </sheetData>
  <sheetProtection/>
  <mergeCells count="10">
    <mergeCell ref="A1:AC1"/>
    <mergeCell ref="A2:AC2"/>
    <mergeCell ref="E3:I3"/>
    <mergeCell ref="J3:N3"/>
    <mergeCell ref="O3:S3"/>
    <mergeCell ref="T3:X3"/>
    <mergeCell ref="Y3:AA3"/>
    <mergeCell ref="A3:A4"/>
    <mergeCell ref="D3:D4"/>
    <mergeCell ref="C3:C4"/>
  </mergeCells>
  <printOptions horizontalCentered="1"/>
  <pageMargins left="0.6299212598425197" right="0.5511811023622047" top="0.5118110236220472" bottom="0.2362204724409449" header="0.31496062992125984" footer="0.2755905511811024"/>
  <pageSetup horizontalDpi="600" verticalDpi="600" orientation="landscape" paperSize="9" scale="57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115" zoomScaleNormal="115" zoomScaleSheetLayoutView="115" zoomScalePageLayoutView="0" workbookViewId="0" topLeftCell="A1">
      <pane xSplit="3" ySplit="4" topLeftCell="D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7" sqref="M27"/>
    </sheetView>
  </sheetViews>
  <sheetFormatPr defaultColWidth="9.140625" defaultRowHeight="12.75"/>
  <cols>
    <col min="1" max="1" width="2.7109375" style="0" customWidth="1"/>
    <col min="2" max="2" width="8.140625" style="8" bestFit="1" customWidth="1"/>
    <col min="3" max="3" width="42.140625" style="20" bestFit="1" customWidth="1"/>
    <col min="4" max="4" width="6.8515625" style="0" customWidth="1"/>
    <col min="5" max="5" width="5.421875" style="0" customWidth="1"/>
    <col min="6" max="6" width="5.57421875" style="0" customWidth="1"/>
    <col min="7" max="7" width="6.57421875" style="0" customWidth="1"/>
    <col min="8" max="8" width="5.7109375" style="0" customWidth="1"/>
    <col min="9" max="9" width="6.00390625" style="0" customWidth="1"/>
    <col min="10" max="10" width="5.00390625" style="0" customWidth="1"/>
    <col min="11" max="11" width="7.00390625" style="0" customWidth="1"/>
    <col min="12" max="12" width="6.28125" style="0" customWidth="1"/>
    <col min="13" max="13" width="5.7109375" style="0" customWidth="1"/>
    <col min="14" max="14" width="5.00390625" style="0" customWidth="1"/>
    <col min="15" max="15" width="7.00390625" style="0" customWidth="1"/>
    <col min="16" max="16" width="6.00390625" style="0" customWidth="1"/>
    <col min="17" max="17" width="4.8515625" style="0" customWidth="1"/>
    <col min="18" max="18" width="5.57421875" style="0" customWidth="1"/>
    <col min="19" max="19" width="7.140625" style="0" customWidth="1"/>
    <col min="20" max="20" width="5.8515625" style="0" customWidth="1"/>
    <col min="21" max="21" width="6.28125" style="0" customWidth="1"/>
    <col min="22" max="22" width="5.8515625" style="0" customWidth="1"/>
    <col min="23" max="23" width="9.00390625" style="0" customWidth="1"/>
    <col min="24" max="24" width="24.57421875" style="0" bestFit="1" customWidth="1"/>
    <col min="25" max="25" width="5.421875" style="0" customWidth="1"/>
  </cols>
  <sheetData>
    <row r="1" spans="1:23" ht="15.75">
      <c r="A1" s="222" t="s">
        <v>47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4" ht="15.75">
      <c r="A2" s="220" t="str">
        <f>контингент!A2</f>
        <v>01.11.2023 холати</v>
      </c>
      <c r="B2" s="220"/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3" ht="12.75">
      <c r="A3" s="224" t="s">
        <v>0</v>
      </c>
      <c r="B3" s="224" t="s">
        <v>87</v>
      </c>
      <c r="C3" s="226" t="s">
        <v>36</v>
      </c>
      <c r="D3" s="223" t="s">
        <v>1</v>
      </c>
      <c r="E3" s="223"/>
      <c r="F3" s="223"/>
      <c r="G3" s="223"/>
      <c r="H3" s="223" t="s">
        <v>2</v>
      </c>
      <c r="I3" s="223"/>
      <c r="J3" s="223"/>
      <c r="K3" s="223"/>
      <c r="L3" s="223" t="s">
        <v>3</v>
      </c>
      <c r="M3" s="223"/>
      <c r="N3" s="223"/>
      <c r="O3" s="223"/>
      <c r="P3" s="223" t="s">
        <v>4</v>
      </c>
      <c r="Q3" s="223"/>
      <c r="R3" s="223"/>
      <c r="S3" s="223"/>
      <c r="T3" s="223" t="s">
        <v>5</v>
      </c>
      <c r="U3" s="223"/>
      <c r="V3" s="223"/>
      <c r="W3" s="15"/>
    </row>
    <row r="4" spans="1:23" ht="12.75">
      <c r="A4" s="225"/>
      <c r="B4" s="225"/>
      <c r="C4" s="227"/>
      <c r="D4" s="15" t="s">
        <v>6</v>
      </c>
      <c r="E4" s="15" t="s">
        <v>7</v>
      </c>
      <c r="F4" s="15" t="s">
        <v>8</v>
      </c>
      <c r="G4" s="15" t="s">
        <v>5</v>
      </c>
      <c r="H4" s="15" t="s">
        <v>9</v>
      </c>
      <c r="I4" s="15" t="s">
        <v>7</v>
      </c>
      <c r="J4" s="15" t="s">
        <v>8</v>
      </c>
      <c r="K4" s="15" t="s">
        <v>5</v>
      </c>
      <c r="L4" s="15" t="s">
        <v>10</v>
      </c>
      <c r="M4" s="15" t="s">
        <v>7</v>
      </c>
      <c r="N4" s="15" t="s">
        <v>11</v>
      </c>
      <c r="O4" s="15" t="s">
        <v>5</v>
      </c>
      <c r="P4" s="15" t="s">
        <v>9</v>
      </c>
      <c r="Q4" s="15" t="s">
        <v>7</v>
      </c>
      <c r="R4" s="15" t="s">
        <v>11</v>
      </c>
      <c r="S4" s="15" t="s">
        <v>5</v>
      </c>
      <c r="T4" s="15" t="s">
        <v>9</v>
      </c>
      <c r="U4" s="15" t="s">
        <v>12</v>
      </c>
      <c r="V4" s="15" t="s">
        <v>8</v>
      </c>
      <c r="W4" s="15" t="s">
        <v>5</v>
      </c>
    </row>
    <row r="5" spans="1:23" ht="12.75">
      <c r="A5" s="148">
        <v>1</v>
      </c>
      <c r="B5" s="156"/>
      <c r="C5" s="190" t="s">
        <v>95</v>
      </c>
      <c r="D5" s="101">
        <f>+D6+D7+D8+D9</f>
        <v>89</v>
      </c>
      <c r="E5" s="101">
        <f>+E6+E7+E8+E9</f>
        <v>14</v>
      </c>
      <c r="F5" s="101">
        <f>+F6+F7+F8+F9</f>
        <v>0</v>
      </c>
      <c r="G5" s="101">
        <f aca="true" t="shared" si="0" ref="G5:W5">+G6+G7+G8+G9</f>
        <v>103</v>
      </c>
      <c r="H5" s="101">
        <f t="shared" si="0"/>
        <v>77</v>
      </c>
      <c r="I5" s="101">
        <f t="shared" si="0"/>
        <v>13</v>
      </c>
      <c r="J5" s="101">
        <f t="shared" si="0"/>
        <v>0</v>
      </c>
      <c r="K5" s="101">
        <f t="shared" si="0"/>
        <v>90</v>
      </c>
      <c r="L5" s="101">
        <f t="shared" si="0"/>
        <v>58</v>
      </c>
      <c r="M5" s="101">
        <f t="shared" si="0"/>
        <v>13</v>
      </c>
      <c r="N5" s="101">
        <f t="shared" si="0"/>
        <v>0</v>
      </c>
      <c r="O5" s="101">
        <f t="shared" si="0"/>
        <v>71</v>
      </c>
      <c r="P5" s="101">
        <f t="shared" si="0"/>
        <v>110</v>
      </c>
      <c r="Q5" s="101">
        <f t="shared" si="0"/>
        <v>20</v>
      </c>
      <c r="R5" s="101">
        <f t="shared" si="0"/>
        <v>8</v>
      </c>
      <c r="S5" s="101">
        <f t="shared" si="0"/>
        <v>138</v>
      </c>
      <c r="T5" s="101">
        <f t="shared" si="0"/>
        <v>334</v>
      </c>
      <c r="U5" s="101">
        <f t="shared" si="0"/>
        <v>60</v>
      </c>
      <c r="V5" s="101">
        <f t="shared" si="0"/>
        <v>8</v>
      </c>
      <c r="W5" s="101">
        <f t="shared" si="0"/>
        <v>402</v>
      </c>
    </row>
    <row r="6" spans="1:23" s="36" customFormat="1" ht="15">
      <c r="A6" s="60">
        <v>1</v>
      </c>
      <c r="B6" s="136">
        <v>60540100</v>
      </c>
      <c r="C6" s="52" t="s">
        <v>13</v>
      </c>
      <c r="D6" s="96">
        <v>51</v>
      </c>
      <c r="E6" s="96">
        <v>9</v>
      </c>
      <c r="F6" s="96"/>
      <c r="G6" s="63">
        <f>D6+E6+F6</f>
        <v>60</v>
      </c>
      <c r="H6" s="96">
        <f>48+1-1-3</f>
        <v>45</v>
      </c>
      <c r="I6" s="96">
        <f>10-1</f>
        <v>9</v>
      </c>
      <c r="J6" s="96"/>
      <c r="K6" s="25">
        <f>H6+I6+J6</f>
        <v>54</v>
      </c>
      <c r="L6" s="61">
        <f>19+3+1+10+1-1+1-1</f>
        <v>33</v>
      </c>
      <c r="M6" s="62">
        <v>10</v>
      </c>
      <c r="N6" s="62"/>
      <c r="O6" s="25">
        <f>L6+M6+N6</f>
        <v>43</v>
      </c>
      <c r="P6" s="28">
        <f>37-1-1-1+2-1-1+1-1+1-1+1-1</f>
        <v>34</v>
      </c>
      <c r="Q6" s="28">
        <f>8-1-3</f>
        <v>4</v>
      </c>
      <c r="R6" s="28"/>
      <c r="S6" s="25">
        <f>P6+Q6+R6</f>
        <v>38</v>
      </c>
      <c r="T6" s="32">
        <f aca="true" t="shared" si="1" ref="T6:V9">D6+H6+L6+P6</f>
        <v>163</v>
      </c>
      <c r="U6" s="32">
        <f t="shared" si="1"/>
        <v>32</v>
      </c>
      <c r="V6" s="32">
        <f t="shared" si="1"/>
        <v>0</v>
      </c>
      <c r="W6" s="33">
        <f>T6+U6+V6</f>
        <v>195</v>
      </c>
    </row>
    <row r="7" spans="1:23" s="36" customFormat="1" ht="15">
      <c r="A7" s="60">
        <v>2</v>
      </c>
      <c r="B7" s="136">
        <v>60110600</v>
      </c>
      <c r="C7" s="78" t="s">
        <v>96</v>
      </c>
      <c r="D7" s="99"/>
      <c r="E7" s="99"/>
      <c r="F7" s="99"/>
      <c r="G7" s="63">
        <f>D7+E7+F7</f>
        <v>0</v>
      </c>
      <c r="H7" s="99"/>
      <c r="I7" s="99"/>
      <c r="J7" s="99"/>
      <c r="K7" s="25">
        <f>H7+I7+J7</f>
        <v>0</v>
      </c>
      <c r="L7" s="66"/>
      <c r="M7" s="67"/>
      <c r="N7" s="67"/>
      <c r="O7" s="25">
        <f>L7+M7+N7</f>
        <v>0</v>
      </c>
      <c r="P7" s="84">
        <f>1+48-1-1-1-1</f>
        <v>45</v>
      </c>
      <c r="Q7" s="28">
        <f>17-1-2-1</f>
        <v>13</v>
      </c>
      <c r="R7" s="28">
        <f>9-1</f>
        <v>8</v>
      </c>
      <c r="S7" s="25">
        <f>P7+Q7+R7</f>
        <v>66</v>
      </c>
      <c r="T7" s="32">
        <f t="shared" si="1"/>
        <v>45</v>
      </c>
      <c r="U7" s="32">
        <f t="shared" si="1"/>
        <v>13</v>
      </c>
      <c r="V7" s="32">
        <f t="shared" si="1"/>
        <v>8</v>
      </c>
      <c r="W7" s="33">
        <f>T7+U7+V7</f>
        <v>66</v>
      </c>
    </row>
    <row r="8" spans="1:23" s="36" customFormat="1" ht="23.25">
      <c r="A8" s="60">
        <v>3</v>
      </c>
      <c r="B8" s="136">
        <v>60540300</v>
      </c>
      <c r="C8" s="78" t="s">
        <v>98</v>
      </c>
      <c r="D8" s="99">
        <v>10</v>
      </c>
      <c r="E8" s="99"/>
      <c r="F8" s="99"/>
      <c r="G8" s="63">
        <f>D8+E8+F8</f>
        <v>10</v>
      </c>
      <c r="H8" s="99">
        <f>11-1-1</f>
        <v>9</v>
      </c>
      <c r="I8" s="99"/>
      <c r="J8" s="99"/>
      <c r="K8" s="25">
        <f>H8+I8+J8</f>
        <v>9</v>
      </c>
      <c r="L8" s="66">
        <f>10-1-3</f>
        <v>6</v>
      </c>
      <c r="M8" s="67"/>
      <c r="N8" s="67"/>
      <c r="O8" s="25">
        <f>L8+M8+N8</f>
        <v>6</v>
      </c>
      <c r="P8" s="65">
        <v>10</v>
      </c>
      <c r="Q8" s="28"/>
      <c r="R8" s="28"/>
      <c r="S8" s="25">
        <f>P8+Q8+R8</f>
        <v>10</v>
      </c>
      <c r="T8" s="32">
        <f t="shared" si="1"/>
        <v>35</v>
      </c>
      <c r="U8" s="32">
        <f t="shared" si="1"/>
        <v>0</v>
      </c>
      <c r="V8" s="32">
        <f t="shared" si="1"/>
        <v>0</v>
      </c>
      <c r="W8" s="33">
        <f>T8+U8+V8</f>
        <v>35</v>
      </c>
    </row>
    <row r="9" spans="1:23" s="36" customFormat="1" ht="15">
      <c r="A9" s="60">
        <v>4</v>
      </c>
      <c r="B9" s="136">
        <v>60540200</v>
      </c>
      <c r="C9" s="78" t="s">
        <v>99</v>
      </c>
      <c r="D9" s="99">
        <v>28</v>
      </c>
      <c r="E9" s="99">
        <v>5</v>
      </c>
      <c r="F9" s="99"/>
      <c r="G9" s="63">
        <f>D9+E9+F9</f>
        <v>33</v>
      </c>
      <c r="H9" s="99">
        <f>26-1-1-1</f>
        <v>23</v>
      </c>
      <c r="I9" s="99">
        <f>5-1</f>
        <v>4</v>
      </c>
      <c r="J9" s="99"/>
      <c r="K9" s="24">
        <f>H9+I9+J9</f>
        <v>27</v>
      </c>
      <c r="L9" s="66">
        <f>22-1-1-1</f>
        <v>19</v>
      </c>
      <c r="M9" s="67">
        <f>9-1-1-4</f>
        <v>3</v>
      </c>
      <c r="N9" s="67"/>
      <c r="O9" s="24">
        <f>L9+M9+N9</f>
        <v>22</v>
      </c>
      <c r="P9" s="28">
        <f>21+1+1-1-1</f>
        <v>21</v>
      </c>
      <c r="Q9" s="28">
        <f>4-1</f>
        <v>3</v>
      </c>
      <c r="R9" s="28"/>
      <c r="S9" s="24">
        <f>P9+Q9+R9</f>
        <v>24</v>
      </c>
      <c r="T9" s="32">
        <f t="shared" si="1"/>
        <v>91</v>
      </c>
      <c r="U9" s="32">
        <f t="shared" si="1"/>
        <v>15</v>
      </c>
      <c r="V9" s="32">
        <f t="shared" si="1"/>
        <v>0</v>
      </c>
      <c r="W9" s="33">
        <f>T9+U9+V9</f>
        <v>106</v>
      </c>
    </row>
    <row r="10" spans="1:23" ht="22.5">
      <c r="A10" s="95">
        <v>2</v>
      </c>
      <c r="B10" s="161"/>
      <c r="C10" s="191" t="s">
        <v>123</v>
      </c>
      <c r="D10" s="101">
        <f>+D11+D12+D13</f>
        <v>53</v>
      </c>
      <c r="E10" s="101">
        <f>+E11+E12+E13</f>
        <v>0</v>
      </c>
      <c r="F10" s="101">
        <f>+F11+F12+F13</f>
        <v>0</v>
      </c>
      <c r="G10" s="101">
        <f aca="true" t="shared" si="2" ref="G10:W10">+G11+G12+G13</f>
        <v>53</v>
      </c>
      <c r="H10" s="101">
        <f t="shared" si="2"/>
        <v>38</v>
      </c>
      <c r="I10" s="101">
        <f t="shared" si="2"/>
        <v>5</v>
      </c>
      <c r="J10" s="101">
        <f t="shared" si="2"/>
        <v>0</v>
      </c>
      <c r="K10" s="101">
        <f t="shared" si="2"/>
        <v>43</v>
      </c>
      <c r="L10" s="101">
        <f t="shared" si="2"/>
        <v>17</v>
      </c>
      <c r="M10" s="101">
        <f t="shared" si="2"/>
        <v>2</v>
      </c>
      <c r="N10" s="101">
        <f t="shared" si="2"/>
        <v>0</v>
      </c>
      <c r="O10" s="101">
        <f t="shared" si="2"/>
        <v>19</v>
      </c>
      <c r="P10" s="101">
        <f t="shared" si="2"/>
        <v>12</v>
      </c>
      <c r="Q10" s="101">
        <f t="shared" si="2"/>
        <v>1</v>
      </c>
      <c r="R10" s="101">
        <f t="shared" si="2"/>
        <v>0</v>
      </c>
      <c r="S10" s="101">
        <f t="shared" si="2"/>
        <v>13</v>
      </c>
      <c r="T10" s="101">
        <f t="shared" si="2"/>
        <v>120</v>
      </c>
      <c r="U10" s="101">
        <f t="shared" si="2"/>
        <v>8</v>
      </c>
      <c r="V10" s="101">
        <f t="shared" si="2"/>
        <v>0</v>
      </c>
      <c r="W10" s="101">
        <f t="shared" si="2"/>
        <v>128</v>
      </c>
    </row>
    <row r="11" spans="1:25" s="36" customFormat="1" ht="22.5">
      <c r="A11" s="60">
        <v>5</v>
      </c>
      <c r="B11" s="136">
        <v>60610100</v>
      </c>
      <c r="C11" s="93" t="s">
        <v>100</v>
      </c>
      <c r="D11" s="99">
        <v>26</v>
      </c>
      <c r="E11" s="99"/>
      <c r="F11" s="99"/>
      <c r="G11" s="63">
        <f>D11+E11+F11</f>
        <v>26</v>
      </c>
      <c r="H11" s="99">
        <f>11-1</f>
        <v>10</v>
      </c>
      <c r="I11" s="99"/>
      <c r="J11" s="99"/>
      <c r="K11" s="24">
        <f>H11+I11+J11</f>
        <v>10</v>
      </c>
      <c r="L11" s="66">
        <f>7-1</f>
        <v>6</v>
      </c>
      <c r="M11" s="67">
        <f>3-1</f>
        <v>2</v>
      </c>
      <c r="N11" s="67"/>
      <c r="O11" s="24">
        <f>L11+M11+N11</f>
        <v>8</v>
      </c>
      <c r="P11" s="28">
        <v>7</v>
      </c>
      <c r="Q11" s="28">
        <f>3-2</f>
        <v>1</v>
      </c>
      <c r="R11" s="28"/>
      <c r="S11" s="24">
        <f>P11+Q11+R11</f>
        <v>8</v>
      </c>
      <c r="T11" s="32">
        <f aca="true" t="shared" si="3" ref="T11:V12">D11+H11+L11+P11</f>
        <v>49</v>
      </c>
      <c r="U11" s="32">
        <f t="shared" si="3"/>
        <v>3</v>
      </c>
      <c r="V11" s="32">
        <f t="shared" si="3"/>
        <v>0</v>
      </c>
      <c r="W11" s="33">
        <f>T11+U11+V11</f>
        <v>52</v>
      </c>
      <c r="X11" s="45"/>
      <c r="Y11" s="23"/>
    </row>
    <row r="12" spans="1:25" s="36" customFormat="1" ht="13.5" customHeight="1">
      <c r="A12" s="60">
        <v>6</v>
      </c>
      <c r="B12" s="136">
        <v>60610600</v>
      </c>
      <c r="C12" s="93" t="s">
        <v>101</v>
      </c>
      <c r="D12" s="99">
        <v>16</v>
      </c>
      <c r="E12" s="99"/>
      <c r="F12" s="99"/>
      <c r="G12" s="63">
        <f>D12+E12+F12</f>
        <v>16</v>
      </c>
      <c r="H12" s="99">
        <v>22</v>
      </c>
      <c r="I12" s="99">
        <v>5</v>
      </c>
      <c r="J12" s="99"/>
      <c r="K12" s="24">
        <f>H12+I12+J12</f>
        <v>27</v>
      </c>
      <c r="L12" s="66">
        <f>15-1-1-1-1</f>
        <v>11</v>
      </c>
      <c r="M12" s="67"/>
      <c r="N12" s="67"/>
      <c r="O12" s="24">
        <f>L12+M12+N12</f>
        <v>11</v>
      </c>
      <c r="P12" s="28">
        <v>5</v>
      </c>
      <c r="Q12" s="28"/>
      <c r="R12" s="28"/>
      <c r="S12" s="24">
        <f>P12+Q12+R12</f>
        <v>5</v>
      </c>
      <c r="T12" s="32">
        <f t="shared" si="3"/>
        <v>54</v>
      </c>
      <c r="U12" s="32">
        <f t="shared" si="3"/>
        <v>5</v>
      </c>
      <c r="V12" s="32">
        <f t="shared" si="3"/>
        <v>0</v>
      </c>
      <c r="W12" s="33">
        <f>T12+U12+V12</f>
        <v>59</v>
      </c>
      <c r="X12" s="45"/>
      <c r="Y12" s="23"/>
    </row>
    <row r="13" spans="1:25" s="36" customFormat="1" ht="13.5" customHeight="1">
      <c r="A13" s="60">
        <v>7</v>
      </c>
      <c r="B13" s="94">
        <v>60610700</v>
      </c>
      <c r="C13" s="93" t="s">
        <v>122</v>
      </c>
      <c r="D13" s="99">
        <v>11</v>
      </c>
      <c r="E13" s="99"/>
      <c r="F13" s="99"/>
      <c r="G13" s="63">
        <f>D13+E13+F13</f>
        <v>11</v>
      </c>
      <c r="H13" s="99">
        <f>10-3-1</f>
        <v>6</v>
      </c>
      <c r="I13" s="99"/>
      <c r="J13" s="99"/>
      <c r="K13" s="24">
        <f>H13+I13+J13</f>
        <v>6</v>
      </c>
      <c r="L13" s="66"/>
      <c r="M13" s="66"/>
      <c r="N13" s="66"/>
      <c r="O13" s="24">
        <f>L13+M13+N13</f>
        <v>0</v>
      </c>
      <c r="P13" s="28"/>
      <c r="Q13" s="28"/>
      <c r="R13" s="28"/>
      <c r="S13" s="24">
        <f>P13+Q13+R13</f>
        <v>0</v>
      </c>
      <c r="T13" s="32">
        <f>D13+H13+L13+P13</f>
        <v>17</v>
      </c>
      <c r="U13" s="32">
        <f>E13+I13+M13+Q13</f>
        <v>0</v>
      </c>
      <c r="V13" s="32">
        <f>F13+J13+N13+R13</f>
        <v>0</v>
      </c>
      <c r="W13" s="33">
        <f>T13+U13+V13</f>
        <v>17</v>
      </c>
      <c r="X13" s="45"/>
      <c r="Y13" s="23"/>
    </row>
    <row r="14" spans="1:25" s="3" customFormat="1" ht="15">
      <c r="A14" s="95">
        <v>3</v>
      </c>
      <c r="B14" s="161"/>
      <c r="C14" s="192" t="s">
        <v>128</v>
      </c>
      <c r="D14" s="101">
        <f>+D15+D16+D17+D18+D19+D20+D21</f>
        <v>86</v>
      </c>
      <c r="E14" s="101">
        <f>+E15+E16+E17+E18+E19+E20+E21</f>
        <v>3</v>
      </c>
      <c r="F14" s="101">
        <f>+F15+F16+F17+F18+F19+F20+F21</f>
        <v>0</v>
      </c>
      <c r="G14" s="101">
        <f aca="true" t="shared" si="4" ref="G14:W14">+G15+G16+G17+G18+G19+G20+G21</f>
        <v>89</v>
      </c>
      <c r="H14" s="101">
        <f t="shared" si="4"/>
        <v>41</v>
      </c>
      <c r="I14" s="101">
        <f t="shared" si="4"/>
        <v>0</v>
      </c>
      <c r="J14" s="101">
        <f t="shared" si="4"/>
        <v>0</v>
      </c>
      <c r="K14" s="101">
        <f t="shared" si="4"/>
        <v>41</v>
      </c>
      <c r="L14" s="101">
        <f t="shared" si="4"/>
        <v>29</v>
      </c>
      <c r="M14" s="101">
        <f t="shared" si="4"/>
        <v>4</v>
      </c>
      <c r="N14" s="101">
        <f t="shared" si="4"/>
        <v>0</v>
      </c>
      <c r="O14" s="101">
        <f t="shared" si="4"/>
        <v>33</v>
      </c>
      <c r="P14" s="101">
        <f t="shared" si="4"/>
        <v>40</v>
      </c>
      <c r="Q14" s="101">
        <f t="shared" si="4"/>
        <v>10</v>
      </c>
      <c r="R14" s="101">
        <f t="shared" si="4"/>
        <v>1</v>
      </c>
      <c r="S14" s="101">
        <f t="shared" si="4"/>
        <v>51</v>
      </c>
      <c r="T14" s="101">
        <f t="shared" si="4"/>
        <v>196</v>
      </c>
      <c r="U14" s="101">
        <f t="shared" si="4"/>
        <v>17</v>
      </c>
      <c r="V14" s="101">
        <f t="shared" si="4"/>
        <v>1</v>
      </c>
      <c r="W14" s="101">
        <f t="shared" si="4"/>
        <v>214</v>
      </c>
      <c r="X14" s="45" t="s">
        <v>62</v>
      </c>
      <c r="Y14" s="23">
        <f>W72+W74</f>
        <v>74</v>
      </c>
    </row>
    <row r="15" spans="1:25" s="36" customFormat="1" ht="15">
      <c r="A15" s="60">
        <v>8</v>
      </c>
      <c r="B15" s="136">
        <v>60530900</v>
      </c>
      <c r="C15" s="52" t="s">
        <v>15</v>
      </c>
      <c r="D15" s="96">
        <f>30-2</f>
        <v>28</v>
      </c>
      <c r="E15" s="96">
        <f>4-1</f>
        <v>3</v>
      </c>
      <c r="F15" s="96"/>
      <c r="G15" s="63">
        <f aca="true" t="shared" si="5" ref="G15:G21">D15+E15+F15</f>
        <v>31</v>
      </c>
      <c r="H15" s="96">
        <f>17-1</f>
        <v>16</v>
      </c>
      <c r="I15" s="96">
        <f>1-1</f>
        <v>0</v>
      </c>
      <c r="J15" s="96"/>
      <c r="K15" s="25">
        <f aca="true" t="shared" si="6" ref="K15:K21">H15+I15+J15</f>
        <v>16</v>
      </c>
      <c r="L15" s="61">
        <f>11+5-1</f>
        <v>15</v>
      </c>
      <c r="M15" s="62">
        <f>6-1-1</f>
        <v>4</v>
      </c>
      <c r="N15" s="62"/>
      <c r="O15" s="25">
        <f aca="true" t="shared" si="7" ref="O15:O21">L15+M15+N15</f>
        <v>19</v>
      </c>
      <c r="P15" s="28">
        <f>18-1</f>
        <v>17</v>
      </c>
      <c r="Q15" s="28">
        <v>5</v>
      </c>
      <c r="R15" s="28"/>
      <c r="S15" s="25">
        <f aca="true" t="shared" si="8" ref="S15:S21">P15+Q15+R15</f>
        <v>22</v>
      </c>
      <c r="T15" s="32">
        <f>D15+H15+L15+P15</f>
        <v>76</v>
      </c>
      <c r="U15" s="32">
        <f>E15+I15+M15+Q15</f>
        <v>12</v>
      </c>
      <c r="V15" s="32">
        <f>F15+J15+N15+R15</f>
        <v>0</v>
      </c>
      <c r="W15" s="33">
        <f aca="true" t="shared" si="9" ref="W15:W21">T15+U15+V15</f>
        <v>88</v>
      </c>
      <c r="X15" s="45" t="s">
        <v>49</v>
      </c>
      <c r="Y15" s="23">
        <f>W39+W58</f>
        <v>54</v>
      </c>
    </row>
    <row r="16" spans="1:25" s="38" customFormat="1" ht="15">
      <c r="A16" s="60">
        <v>9</v>
      </c>
      <c r="B16" s="163">
        <v>60110700</v>
      </c>
      <c r="C16" s="93" t="s">
        <v>111</v>
      </c>
      <c r="D16" s="96"/>
      <c r="E16" s="96"/>
      <c r="F16" s="96"/>
      <c r="G16" s="63">
        <f t="shared" si="5"/>
        <v>0</v>
      </c>
      <c r="H16" s="96"/>
      <c r="I16" s="96"/>
      <c r="J16" s="96"/>
      <c r="K16" s="25">
        <f t="shared" si="6"/>
        <v>0</v>
      </c>
      <c r="L16" s="61"/>
      <c r="M16" s="61"/>
      <c r="N16" s="61"/>
      <c r="O16" s="25">
        <f t="shared" si="7"/>
        <v>0</v>
      </c>
      <c r="P16" s="28">
        <f>10-1</f>
        <v>9</v>
      </c>
      <c r="Q16" s="28">
        <v>5</v>
      </c>
      <c r="R16" s="28">
        <f>2-1</f>
        <v>1</v>
      </c>
      <c r="S16" s="25">
        <f t="shared" si="8"/>
        <v>15</v>
      </c>
      <c r="T16" s="25">
        <f aca="true" t="shared" si="10" ref="T16:V21">D16+H16+L16+P16</f>
        <v>9</v>
      </c>
      <c r="U16" s="25">
        <f t="shared" si="10"/>
        <v>5</v>
      </c>
      <c r="V16" s="25">
        <f t="shared" si="10"/>
        <v>1</v>
      </c>
      <c r="W16" s="34">
        <f t="shared" si="9"/>
        <v>15</v>
      </c>
      <c r="X16" s="47"/>
      <c r="Y16" s="48"/>
    </row>
    <row r="17" spans="1:25" s="38" customFormat="1" ht="15">
      <c r="A17" s="60">
        <v>10</v>
      </c>
      <c r="B17" s="163">
        <v>60531000</v>
      </c>
      <c r="C17" s="78" t="s">
        <v>97</v>
      </c>
      <c r="D17" s="99">
        <v>20</v>
      </c>
      <c r="E17" s="99"/>
      <c r="F17" s="99"/>
      <c r="G17" s="63">
        <f t="shared" si="5"/>
        <v>20</v>
      </c>
      <c r="H17" s="99">
        <f>11-1</f>
        <v>10</v>
      </c>
      <c r="I17" s="99"/>
      <c r="J17" s="99"/>
      <c r="K17" s="25">
        <f t="shared" si="6"/>
        <v>10</v>
      </c>
      <c r="L17" s="66">
        <f>15-1</f>
        <v>14</v>
      </c>
      <c r="M17" s="67"/>
      <c r="N17" s="67"/>
      <c r="O17" s="25">
        <f t="shared" si="7"/>
        <v>14</v>
      </c>
      <c r="P17" s="65">
        <f>16-1-1</f>
        <v>14</v>
      </c>
      <c r="Q17" s="28"/>
      <c r="R17" s="28"/>
      <c r="S17" s="25">
        <f t="shared" si="8"/>
        <v>14</v>
      </c>
      <c r="T17" s="32">
        <f t="shared" si="10"/>
        <v>58</v>
      </c>
      <c r="U17" s="32">
        <f t="shared" si="10"/>
        <v>0</v>
      </c>
      <c r="V17" s="32">
        <f t="shared" si="10"/>
        <v>0</v>
      </c>
      <c r="W17" s="33">
        <f t="shared" si="9"/>
        <v>58</v>
      </c>
      <c r="X17" s="47"/>
      <c r="Y17" s="48"/>
    </row>
    <row r="18" spans="1:25" s="38" customFormat="1" ht="15">
      <c r="A18" s="60">
        <v>11</v>
      </c>
      <c r="B18" s="94">
        <v>60531200</v>
      </c>
      <c r="C18" s="93" t="s">
        <v>124</v>
      </c>
      <c r="D18" s="99">
        <f>15-1</f>
        <v>14</v>
      </c>
      <c r="E18" s="99"/>
      <c r="F18" s="99"/>
      <c r="G18" s="63">
        <f t="shared" si="5"/>
        <v>14</v>
      </c>
      <c r="H18" s="99">
        <f>5-1</f>
        <v>4</v>
      </c>
      <c r="I18" s="99"/>
      <c r="J18" s="99"/>
      <c r="K18" s="25">
        <f t="shared" si="6"/>
        <v>4</v>
      </c>
      <c r="L18" s="66"/>
      <c r="M18" s="66"/>
      <c r="N18" s="66"/>
      <c r="O18" s="25">
        <f t="shared" si="7"/>
        <v>0</v>
      </c>
      <c r="P18" s="65"/>
      <c r="Q18" s="28"/>
      <c r="R18" s="28"/>
      <c r="S18" s="25">
        <f t="shared" si="8"/>
        <v>0</v>
      </c>
      <c r="T18" s="32">
        <f t="shared" si="10"/>
        <v>18</v>
      </c>
      <c r="U18" s="32">
        <f t="shared" si="10"/>
        <v>0</v>
      </c>
      <c r="V18" s="32">
        <f t="shared" si="10"/>
        <v>0</v>
      </c>
      <c r="W18" s="33">
        <f t="shared" si="9"/>
        <v>18</v>
      </c>
      <c r="X18" s="47"/>
      <c r="Y18" s="48"/>
    </row>
    <row r="19" spans="1:25" s="38" customFormat="1" ht="15">
      <c r="A19" s="60">
        <v>12</v>
      </c>
      <c r="B19" s="94">
        <v>60711200</v>
      </c>
      <c r="C19" s="93" t="s">
        <v>125</v>
      </c>
      <c r="D19" s="99">
        <v>5</v>
      </c>
      <c r="E19" s="99"/>
      <c r="F19" s="99"/>
      <c r="G19" s="63">
        <f t="shared" si="5"/>
        <v>5</v>
      </c>
      <c r="H19" s="99">
        <f>9+1-3</f>
        <v>7</v>
      </c>
      <c r="I19" s="99"/>
      <c r="J19" s="99"/>
      <c r="K19" s="25">
        <f t="shared" si="6"/>
        <v>7</v>
      </c>
      <c r="L19" s="66"/>
      <c r="M19" s="66"/>
      <c r="N19" s="66"/>
      <c r="O19" s="25">
        <f t="shared" si="7"/>
        <v>0</v>
      </c>
      <c r="P19" s="65"/>
      <c r="Q19" s="28"/>
      <c r="R19" s="28"/>
      <c r="S19" s="25">
        <f t="shared" si="8"/>
        <v>0</v>
      </c>
      <c r="T19" s="32">
        <f t="shared" si="10"/>
        <v>12</v>
      </c>
      <c r="U19" s="32">
        <f t="shared" si="10"/>
        <v>0</v>
      </c>
      <c r="V19" s="32">
        <f t="shared" si="10"/>
        <v>0</v>
      </c>
      <c r="W19" s="33">
        <f t="shared" si="9"/>
        <v>12</v>
      </c>
      <c r="X19" s="47"/>
      <c r="Y19" s="48"/>
    </row>
    <row r="20" spans="1:25" s="38" customFormat="1" ht="22.5">
      <c r="A20" s="60">
        <v>13</v>
      </c>
      <c r="B20" s="94">
        <v>60711600</v>
      </c>
      <c r="C20" s="93" t="s">
        <v>126</v>
      </c>
      <c r="D20" s="99">
        <v>9</v>
      </c>
      <c r="E20" s="99"/>
      <c r="F20" s="99"/>
      <c r="G20" s="63">
        <f t="shared" si="5"/>
        <v>9</v>
      </c>
      <c r="H20" s="99">
        <f>1-1</f>
        <v>0</v>
      </c>
      <c r="I20" s="99"/>
      <c r="J20" s="99"/>
      <c r="K20" s="25">
        <f t="shared" si="6"/>
        <v>0</v>
      </c>
      <c r="L20" s="66"/>
      <c r="M20" s="66"/>
      <c r="N20" s="66"/>
      <c r="O20" s="25">
        <f t="shared" si="7"/>
        <v>0</v>
      </c>
      <c r="P20" s="65"/>
      <c r="Q20" s="28"/>
      <c r="R20" s="28"/>
      <c r="S20" s="25">
        <f t="shared" si="8"/>
        <v>0</v>
      </c>
      <c r="T20" s="32">
        <f t="shared" si="10"/>
        <v>9</v>
      </c>
      <c r="U20" s="32">
        <f t="shared" si="10"/>
        <v>0</v>
      </c>
      <c r="V20" s="32">
        <f t="shared" si="10"/>
        <v>0</v>
      </c>
      <c r="W20" s="33">
        <f t="shared" si="9"/>
        <v>9</v>
      </c>
      <c r="X20" s="47"/>
      <c r="Y20" s="48"/>
    </row>
    <row r="21" spans="1:25" s="38" customFormat="1" ht="22.5">
      <c r="A21" s="60">
        <v>14</v>
      </c>
      <c r="B21" s="94">
        <v>60720800</v>
      </c>
      <c r="C21" s="93" t="s">
        <v>127</v>
      </c>
      <c r="D21" s="96">
        <v>10</v>
      </c>
      <c r="E21" s="96"/>
      <c r="F21" s="96"/>
      <c r="G21" s="63">
        <f t="shared" si="5"/>
        <v>10</v>
      </c>
      <c r="H21" s="96">
        <f>6-2</f>
        <v>4</v>
      </c>
      <c r="I21" s="96"/>
      <c r="J21" s="96"/>
      <c r="K21" s="25">
        <f t="shared" si="6"/>
        <v>4</v>
      </c>
      <c r="L21" s="66"/>
      <c r="M21" s="66"/>
      <c r="N21" s="66"/>
      <c r="O21" s="25">
        <f t="shared" si="7"/>
        <v>0</v>
      </c>
      <c r="P21" s="65"/>
      <c r="Q21" s="28"/>
      <c r="R21" s="28"/>
      <c r="S21" s="25">
        <f t="shared" si="8"/>
        <v>0</v>
      </c>
      <c r="T21" s="32">
        <f t="shared" si="10"/>
        <v>14</v>
      </c>
      <c r="U21" s="32">
        <f t="shared" si="10"/>
        <v>0</v>
      </c>
      <c r="V21" s="32">
        <f t="shared" si="10"/>
        <v>0</v>
      </c>
      <c r="W21" s="33">
        <f t="shared" si="9"/>
        <v>14</v>
      </c>
      <c r="X21" s="47"/>
      <c r="Y21" s="48"/>
    </row>
    <row r="22" spans="1:23" s="2" customFormat="1" ht="14.25">
      <c r="A22" s="95">
        <v>4</v>
      </c>
      <c r="B22" s="161"/>
      <c r="C22" s="193" t="s">
        <v>31</v>
      </c>
      <c r="D22" s="101">
        <f>D23+D24+D25+D26+D27+D28+D29</f>
        <v>60</v>
      </c>
      <c r="E22" s="101">
        <f>E23+E24+E25+E26+E27+E28+E29</f>
        <v>10</v>
      </c>
      <c r="F22" s="101">
        <f>F23+F24+F25+F26+F27+F28+F29</f>
        <v>5</v>
      </c>
      <c r="G22" s="109">
        <f aca="true" t="shared" si="11" ref="G22:W22">G23+G24+G25+G26+G27+G28+G29</f>
        <v>75</v>
      </c>
      <c r="H22" s="101">
        <f>H23+H24+H25+H26+H27+H28+H29</f>
        <v>57</v>
      </c>
      <c r="I22" s="101">
        <f>I23+I24+I25+I26+I27+I28+I29</f>
        <v>13</v>
      </c>
      <c r="J22" s="101">
        <f>J23+J24+J25+J26+J27+J28+J29</f>
        <v>8</v>
      </c>
      <c r="K22" s="109">
        <f t="shared" si="11"/>
        <v>78</v>
      </c>
      <c r="L22" s="109">
        <f>L23+L24+L25+L26+L27+L28+L29</f>
        <v>85</v>
      </c>
      <c r="M22" s="109">
        <f>M23+M24+M25+M26+M27+M28+M29</f>
        <v>29</v>
      </c>
      <c r="N22" s="109">
        <f>N23+N24+N25+N26+N27+N28+N29</f>
        <v>11</v>
      </c>
      <c r="O22" s="109">
        <f t="shared" si="11"/>
        <v>125</v>
      </c>
      <c r="P22" s="109">
        <f>P23+P24+P25+P26+P27+P28+P29</f>
        <v>73</v>
      </c>
      <c r="Q22" s="109">
        <f>Q23+Q24+Q25+Q26+Q27+Q28+Q29</f>
        <v>51</v>
      </c>
      <c r="R22" s="109">
        <f>R23+R24+R25+R26+R27+R28+R29</f>
        <v>10</v>
      </c>
      <c r="S22" s="109">
        <f t="shared" si="11"/>
        <v>134</v>
      </c>
      <c r="T22" s="109">
        <f t="shared" si="11"/>
        <v>275</v>
      </c>
      <c r="U22" s="109">
        <f t="shared" si="11"/>
        <v>103</v>
      </c>
      <c r="V22" s="109">
        <f t="shared" si="11"/>
        <v>34</v>
      </c>
      <c r="W22" s="109">
        <f t="shared" si="11"/>
        <v>412</v>
      </c>
    </row>
    <row r="23" spans="1:23" s="36" customFormat="1" ht="15">
      <c r="A23" s="60">
        <v>15</v>
      </c>
      <c r="B23" s="136">
        <v>60230100</v>
      </c>
      <c r="C23" s="52" t="s">
        <v>65</v>
      </c>
      <c r="D23" s="102"/>
      <c r="E23" s="102"/>
      <c r="F23" s="96">
        <v>5</v>
      </c>
      <c r="G23" s="63">
        <f aca="true" t="shared" si="12" ref="G23:G29">D23+E23+F23</f>
        <v>5</v>
      </c>
      <c r="H23" s="102"/>
      <c r="I23" s="102"/>
      <c r="J23" s="96">
        <f>11-2-1</f>
        <v>8</v>
      </c>
      <c r="K23" s="25">
        <f aca="true" t="shared" si="13" ref="K23:K29">H23+I23+J23</f>
        <v>8</v>
      </c>
      <c r="L23" s="70"/>
      <c r="M23" s="71"/>
      <c r="N23" s="63">
        <f>13-1-1</f>
        <v>11</v>
      </c>
      <c r="O23" s="25">
        <f aca="true" t="shared" si="14" ref="O23:O29">L23+M23+N23</f>
        <v>11</v>
      </c>
      <c r="P23" s="28"/>
      <c r="Q23" s="28"/>
      <c r="R23" s="29">
        <v>10</v>
      </c>
      <c r="S23" s="25">
        <f aca="true" t="shared" si="15" ref="S23:S29">P23+Q23+R23</f>
        <v>10</v>
      </c>
      <c r="T23" s="32">
        <f aca="true" t="shared" si="16" ref="T23:V27">D23+H23+L23+P23</f>
        <v>0</v>
      </c>
      <c r="U23" s="32">
        <f t="shared" si="16"/>
        <v>0</v>
      </c>
      <c r="V23" s="32">
        <f t="shared" si="16"/>
        <v>34</v>
      </c>
      <c r="W23" s="33">
        <f aca="true" t="shared" si="17" ref="W23:W29">T23+U23+V23</f>
        <v>34</v>
      </c>
    </row>
    <row r="24" spans="1:23" s="36" customFormat="1" ht="15">
      <c r="A24" s="60">
        <v>16</v>
      </c>
      <c r="B24" s="136">
        <v>60230100</v>
      </c>
      <c r="C24" s="52" t="s">
        <v>66</v>
      </c>
      <c r="D24" s="103">
        <v>37</v>
      </c>
      <c r="E24" s="103"/>
      <c r="F24" s="103"/>
      <c r="G24" s="73">
        <f t="shared" si="12"/>
        <v>37</v>
      </c>
      <c r="H24" s="103">
        <f>55-1+1-1-1-1</f>
        <v>52</v>
      </c>
      <c r="I24" s="104"/>
      <c r="J24" s="104"/>
      <c r="K24" s="24">
        <f t="shared" si="13"/>
        <v>52</v>
      </c>
      <c r="L24" s="72">
        <f>61+2+1+2+9+3+4+1-1-1</f>
        <v>81</v>
      </c>
      <c r="M24" s="73"/>
      <c r="N24" s="73"/>
      <c r="O24" s="24">
        <f t="shared" si="14"/>
        <v>81</v>
      </c>
      <c r="P24" s="29">
        <f>1+55+4-1+1-1-1-1-1-1</f>
        <v>55</v>
      </c>
      <c r="Q24" s="29"/>
      <c r="R24" s="29"/>
      <c r="S24" s="24">
        <f t="shared" si="15"/>
        <v>55</v>
      </c>
      <c r="T24" s="26">
        <f aca="true" t="shared" si="18" ref="T24:V25">D24+H24+L24+P24</f>
        <v>225</v>
      </c>
      <c r="U24" s="26">
        <f t="shared" si="18"/>
        <v>0</v>
      </c>
      <c r="V24" s="26">
        <f t="shared" si="18"/>
        <v>0</v>
      </c>
      <c r="W24" s="33">
        <f t="shared" si="17"/>
        <v>225</v>
      </c>
    </row>
    <row r="25" spans="1:23" s="36" customFormat="1" ht="15">
      <c r="A25" s="60">
        <v>17</v>
      </c>
      <c r="B25" s="136">
        <v>60230600</v>
      </c>
      <c r="C25" s="52" t="s">
        <v>102</v>
      </c>
      <c r="D25" s="103"/>
      <c r="E25" s="103"/>
      <c r="F25" s="103"/>
      <c r="G25" s="73">
        <f t="shared" si="12"/>
        <v>0</v>
      </c>
      <c r="H25" s="103">
        <f>6-1</f>
        <v>5</v>
      </c>
      <c r="I25" s="104"/>
      <c r="J25" s="104"/>
      <c r="K25" s="24">
        <f t="shared" si="13"/>
        <v>5</v>
      </c>
      <c r="L25" s="72">
        <f>5-1</f>
        <v>4</v>
      </c>
      <c r="M25" s="73"/>
      <c r="N25" s="73"/>
      <c r="O25" s="24">
        <f t="shared" si="14"/>
        <v>4</v>
      </c>
      <c r="P25" s="29">
        <f>5-1-1</f>
        <v>3</v>
      </c>
      <c r="Q25" s="29"/>
      <c r="R25" s="29"/>
      <c r="S25" s="24">
        <f t="shared" si="15"/>
        <v>3</v>
      </c>
      <c r="T25" s="26">
        <f t="shared" si="18"/>
        <v>12</v>
      </c>
      <c r="U25" s="26">
        <f t="shared" si="18"/>
        <v>0</v>
      </c>
      <c r="V25" s="26">
        <f t="shared" si="18"/>
        <v>0</v>
      </c>
      <c r="W25" s="33">
        <f t="shared" si="17"/>
        <v>12</v>
      </c>
    </row>
    <row r="26" spans="1:23" s="36" customFormat="1" ht="15">
      <c r="A26" s="60">
        <v>18</v>
      </c>
      <c r="B26" s="136">
        <v>60230100</v>
      </c>
      <c r="C26" s="52" t="s">
        <v>67</v>
      </c>
      <c r="D26" s="102"/>
      <c r="E26" s="96">
        <v>10</v>
      </c>
      <c r="F26" s="96"/>
      <c r="G26" s="63">
        <f t="shared" si="12"/>
        <v>10</v>
      </c>
      <c r="H26" s="102"/>
      <c r="I26" s="96">
        <f>15-2</f>
        <v>13</v>
      </c>
      <c r="J26" s="97"/>
      <c r="K26" s="25">
        <f t="shared" si="13"/>
        <v>13</v>
      </c>
      <c r="L26" s="70"/>
      <c r="M26" s="62">
        <f>25+4+3-1-1-1-1+1</f>
        <v>29</v>
      </c>
      <c r="N26" s="63"/>
      <c r="O26" s="25">
        <f t="shared" si="14"/>
        <v>29</v>
      </c>
      <c r="P26" s="28"/>
      <c r="Q26" s="28">
        <f>2+24+1+1-1-1-1-1-1</f>
        <v>23</v>
      </c>
      <c r="R26" s="29"/>
      <c r="S26" s="25">
        <f t="shared" si="15"/>
        <v>23</v>
      </c>
      <c r="T26" s="32">
        <f t="shared" si="16"/>
        <v>0</v>
      </c>
      <c r="U26" s="32">
        <f t="shared" si="16"/>
        <v>75</v>
      </c>
      <c r="V26" s="32">
        <f t="shared" si="16"/>
        <v>0</v>
      </c>
      <c r="W26" s="33">
        <f t="shared" si="17"/>
        <v>75</v>
      </c>
    </row>
    <row r="27" spans="1:23" s="36" customFormat="1" ht="15">
      <c r="A27" s="60">
        <v>19</v>
      </c>
      <c r="B27" s="136">
        <v>60230100</v>
      </c>
      <c r="C27" s="52" t="s">
        <v>138</v>
      </c>
      <c r="D27" s="105">
        <v>23</v>
      </c>
      <c r="E27" s="99"/>
      <c r="F27" s="99"/>
      <c r="G27" s="63">
        <f t="shared" si="12"/>
        <v>23</v>
      </c>
      <c r="H27" s="105"/>
      <c r="I27" s="99"/>
      <c r="J27" s="98"/>
      <c r="K27" s="25">
        <f t="shared" si="13"/>
        <v>0</v>
      </c>
      <c r="L27" s="75"/>
      <c r="M27" s="67"/>
      <c r="N27" s="64"/>
      <c r="O27" s="25">
        <f t="shared" si="14"/>
        <v>0</v>
      </c>
      <c r="P27" s="28"/>
      <c r="Q27" s="28"/>
      <c r="R27" s="29"/>
      <c r="S27" s="25">
        <f t="shared" si="15"/>
        <v>0</v>
      </c>
      <c r="T27" s="32">
        <f t="shared" si="16"/>
        <v>23</v>
      </c>
      <c r="U27" s="32">
        <f t="shared" si="16"/>
        <v>0</v>
      </c>
      <c r="V27" s="32">
        <f t="shared" si="16"/>
        <v>0</v>
      </c>
      <c r="W27" s="33">
        <f t="shared" si="17"/>
        <v>23</v>
      </c>
    </row>
    <row r="28" spans="1:23" s="36" customFormat="1" ht="15">
      <c r="A28" s="60">
        <v>20</v>
      </c>
      <c r="B28" s="136">
        <v>60111800</v>
      </c>
      <c r="C28" s="78" t="s">
        <v>79</v>
      </c>
      <c r="D28" s="105"/>
      <c r="E28" s="99"/>
      <c r="F28" s="96"/>
      <c r="G28" s="63">
        <f t="shared" si="12"/>
        <v>0</v>
      </c>
      <c r="H28" s="105"/>
      <c r="I28" s="99"/>
      <c r="J28" s="97"/>
      <c r="K28" s="25">
        <f t="shared" si="13"/>
        <v>0</v>
      </c>
      <c r="L28" s="75"/>
      <c r="M28" s="67"/>
      <c r="N28" s="63"/>
      <c r="O28" s="25">
        <f t="shared" si="14"/>
        <v>0</v>
      </c>
      <c r="P28" s="28">
        <f>1+14</f>
        <v>15</v>
      </c>
      <c r="Q28" s="28"/>
      <c r="R28" s="29"/>
      <c r="S28" s="25">
        <f t="shared" si="15"/>
        <v>15</v>
      </c>
      <c r="T28" s="32">
        <f aca="true" t="shared" si="19" ref="T28:V29">D28+H28+L28+P28</f>
        <v>15</v>
      </c>
      <c r="U28" s="32">
        <f t="shared" si="19"/>
        <v>0</v>
      </c>
      <c r="V28" s="32">
        <f t="shared" si="19"/>
        <v>0</v>
      </c>
      <c r="W28" s="33">
        <f t="shared" si="17"/>
        <v>15</v>
      </c>
    </row>
    <row r="29" spans="1:23" s="36" customFormat="1" ht="15">
      <c r="A29" s="60">
        <v>21</v>
      </c>
      <c r="B29" s="136">
        <v>60111700</v>
      </c>
      <c r="C29" s="93" t="s">
        <v>103</v>
      </c>
      <c r="D29" s="105"/>
      <c r="E29" s="99"/>
      <c r="F29" s="96"/>
      <c r="G29" s="63">
        <f t="shared" si="12"/>
        <v>0</v>
      </c>
      <c r="H29" s="105"/>
      <c r="I29" s="99"/>
      <c r="J29" s="97"/>
      <c r="K29" s="25">
        <f t="shared" si="13"/>
        <v>0</v>
      </c>
      <c r="L29" s="75"/>
      <c r="M29" s="66"/>
      <c r="N29" s="76"/>
      <c r="O29" s="25">
        <f t="shared" si="14"/>
        <v>0</v>
      </c>
      <c r="P29" s="28"/>
      <c r="Q29" s="28">
        <f>28-1+1</f>
        <v>28</v>
      </c>
      <c r="R29" s="29"/>
      <c r="S29" s="25">
        <f t="shared" si="15"/>
        <v>28</v>
      </c>
      <c r="T29" s="32">
        <f t="shared" si="19"/>
        <v>0</v>
      </c>
      <c r="U29" s="32">
        <f t="shared" si="19"/>
        <v>28</v>
      </c>
      <c r="V29" s="32">
        <f t="shared" si="19"/>
        <v>0</v>
      </c>
      <c r="W29" s="33">
        <f t="shared" si="17"/>
        <v>28</v>
      </c>
    </row>
    <row r="30" spans="1:23" ht="12.75">
      <c r="A30" s="95">
        <v>5</v>
      </c>
      <c r="B30" s="161"/>
      <c r="C30" s="189" t="s">
        <v>140</v>
      </c>
      <c r="D30" s="101">
        <f>+D31+D32+D33+D34+D35+D36+D37</f>
        <v>113</v>
      </c>
      <c r="E30" s="101">
        <f>+E31+E32+E33+E34+E35+E36+E37</f>
        <v>5</v>
      </c>
      <c r="F30" s="101">
        <f>+F31+F32+F33+F34+F35+F36+F37</f>
        <v>0</v>
      </c>
      <c r="G30" s="101">
        <f aca="true" t="shared" si="20" ref="G30:W30">+G31+G32+G33+G34+G35+G36+G37</f>
        <v>118</v>
      </c>
      <c r="H30" s="101">
        <f t="shared" si="20"/>
        <v>66</v>
      </c>
      <c r="I30" s="101">
        <f t="shared" si="20"/>
        <v>5</v>
      </c>
      <c r="J30" s="101">
        <f t="shared" si="20"/>
        <v>0</v>
      </c>
      <c r="K30" s="101">
        <f t="shared" si="20"/>
        <v>71</v>
      </c>
      <c r="L30" s="101">
        <f t="shared" si="20"/>
        <v>61</v>
      </c>
      <c r="M30" s="101">
        <f t="shared" si="20"/>
        <v>11</v>
      </c>
      <c r="N30" s="101">
        <f t="shared" si="20"/>
        <v>0</v>
      </c>
      <c r="O30" s="101">
        <f t="shared" si="20"/>
        <v>72</v>
      </c>
      <c r="P30" s="101">
        <f t="shared" si="20"/>
        <v>71</v>
      </c>
      <c r="Q30" s="101">
        <f t="shared" si="20"/>
        <v>18</v>
      </c>
      <c r="R30" s="101">
        <f t="shared" si="20"/>
        <v>9</v>
      </c>
      <c r="S30" s="101">
        <f t="shared" si="20"/>
        <v>98</v>
      </c>
      <c r="T30" s="101">
        <f t="shared" si="20"/>
        <v>311</v>
      </c>
      <c r="U30" s="101">
        <f t="shared" si="20"/>
        <v>39</v>
      </c>
      <c r="V30" s="101">
        <f t="shared" si="20"/>
        <v>9</v>
      </c>
      <c r="W30" s="101">
        <f t="shared" si="20"/>
        <v>359</v>
      </c>
    </row>
    <row r="31" spans="1:23" ht="15">
      <c r="A31" s="60">
        <v>22</v>
      </c>
      <c r="B31" s="136">
        <v>60510100</v>
      </c>
      <c r="C31" s="69" t="s">
        <v>53</v>
      </c>
      <c r="D31" s="96">
        <f>1+46-2</f>
        <v>45</v>
      </c>
      <c r="E31" s="96">
        <f>5-2</f>
        <v>3</v>
      </c>
      <c r="F31" s="96"/>
      <c r="G31" s="63">
        <f aca="true" t="shared" si="21" ref="G31:G37">D31+E31+F31</f>
        <v>48</v>
      </c>
      <c r="H31" s="96">
        <f>25-1+1-1-2-1-1</f>
        <v>20</v>
      </c>
      <c r="I31" s="96">
        <f>5-1</f>
        <v>4</v>
      </c>
      <c r="J31" s="96"/>
      <c r="K31" s="29">
        <f aca="true" t="shared" si="22" ref="K31:K37">H31+I31+J31</f>
        <v>24</v>
      </c>
      <c r="L31" s="61">
        <f>22+3+4+1-1-1-4-1+1</f>
        <v>24</v>
      </c>
      <c r="M31" s="62">
        <f>5-1</f>
        <v>4</v>
      </c>
      <c r="N31" s="62"/>
      <c r="O31" s="29">
        <f aca="true" t="shared" si="23" ref="O31:O37">L31+M31+N31</f>
        <v>28</v>
      </c>
      <c r="P31" s="28">
        <f>1+21-1-1-1-1</f>
        <v>18</v>
      </c>
      <c r="Q31" s="28">
        <v>5</v>
      </c>
      <c r="R31" s="28"/>
      <c r="S31" s="29">
        <f aca="true" t="shared" si="24" ref="S31:S37">P31+Q31+R31</f>
        <v>23</v>
      </c>
      <c r="T31" s="32">
        <f aca="true" t="shared" si="25" ref="T31:V32">D31+H31+L31+P31</f>
        <v>107</v>
      </c>
      <c r="U31" s="32">
        <f t="shared" si="25"/>
        <v>16</v>
      </c>
      <c r="V31" s="32">
        <f t="shared" si="25"/>
        <v>0</v>
      </c>
      <c r="W31" s="33">
        <f aca="true" t="shared" si="26" ref="W31:W37">T31+U31+V31</f>
        <v>123</v>
      </c>
    </row>
    <row r="32" spans="1:23" ht="15">
      <c r="A32" s="60">
        <v>23</v>
      </c>
      <c r="B32" s="136">
        <v>60710200</v>
      </c>
      <c r="C32" s="52" t="s">
        <v>55</v>
      </c>
      <c r="D32" s="96">
        <f>20-4</f>
        <v>16</v>
      </c>
      <c r="E32" s="96"/>
      <c r="F32" s="96"/>
      <c r="G32" s="63">
        <f t="shared" si="21"/>
        <v>16</v>
      </c>
      <c r="H32" s="96">
        <f>19-5+1-1-2</f>
        <v>12</v>
      </c>
      <c r="I32" s="96"/>
      <c r="J32" s="97"/>
      <c r="K32" s="29">
        <f t="shared" si="22"/>
        <v>12</v>
      </c>
      <c r="L32" s="61">
        <f>16-1-2-2+1-1-1-1</f>
        <v>9</v>
      </c>
      <c r="M32" s="62"/>
      <c r="N32" s="63"/>
      <c r="O32" s="29">
        <f t="shared" si="23"/>
        <v>9</v>
      </c>
      <c r="P32" s="28">
        <f>10-1-1-1</f>
        <v>7</v>
      </c>
      <c r="Q32" s="28"/>
      <c r="R32" s="29"/>
      <c r="S32" s="29">
        <f t="shared" si="24"/>
        <v>7</v>
      </c>
      <c r="T32" s="32">
        <f t="shared" si="25"/>
        <v>44</v>
      </c>
      <c r="U32" s="32">
        <f t="shared" si="25"/>
        <v>0</v>
      </c>
      <c r="V32" s="32">
        <f t="shared" si="25"/>
        <v>0</v>
      </c>
      <c r="W32" s="33">
        <f t="shared" si="26"/>
        <v>44</v>
      </c>
    </row>
    <row r="33" spans="1:23" ht="15">
      <c r="A33" s="60">
        <v>24</v>
      </c>
      <c r="B33" s="163">
        <v>60110900</v>
      </c>
      <c r="C33" s="93" t="s">
        <v>16</v>
      </c>
      <c r="D33" s="99"/>
      <c r="E33" s="99"/>
      <c r="F33" s="99"/>
      <c r="G33" s="64">
        <f t="shared" si="21"/>
        <v>0</v>
      </c>
      <c r="H33" s="99"/>
      <c r="I33" s="99"/>
      <c r="J33" s="98"/>
      <c r="K33" s="29">
        <f t="shared" si="22"/>
        <v>0</v>
      </c>
      <c r="L33" s="66"/>
      <c r="M33" s="67"/>
      <c r="N33" s="64"/>
      <c r="O33" s="29">
        <f t="shared" si="23"/>
        <v>0</v>
      </c>
      <c r="P33" s="28">
        <f>17-1+1-1-1-1-1-1-1-1</f>
        <v>10</v>
      </c>
      <c r="Q33" s="28">
        <v>5</v>
      </c>
      <c r="R33" s="29">
        <v>4</v>
      </c>
      <c r="S33" s="29">
        <f t="shared" si="24"/>
        <v>19</v>
      </c>
      <c r="T33" s="32">
        <f>D33+H33+L33+P33</f>
        <v>10</v>
      </c>
      <c r="U33" s="32">
        <f>E33+I33+M33+Q33</f>
        <v>5</v>
      </c>
      <c r="V33" s="32">
        <f>F33+J33+N33+R33</f>
        <v>4</v>
      </c>
      <c r="W33" s="33">
        <f t="shared" si="26"/>
        <v>19</v>
      </c>
    </row>
    <row r="34" spans="1:23" ht="15">
      <c r="A34" s="60">
        <v>25</v>
      </c>
      <c r="B34" s="136">
        <v>60530100</v>
      </c>
      <c r="C34" s="52" t="s">
        <v>116</v>
      </c>
      <c r="D34" s="96">
        <f>31-1</f>
        <v>30</v>
      </c>
      <c r="E34" s="96">
        <v>2</v>
      </c>
      <c r="F34" s="96"/>
      <c r="G34" s="63">
        <f t="shared" si="21"/>
        <v>32</v>
      </c>
      <c r="H34" s="96">
        <f>18-1</f>
        <v>17</v>
      </c>
      <c r="I34" s="96">
        <f>3-1-1</f>
        <v>1</v>
      </c>
      <c r="J34" s="97"/>
      <c r="K34" s="29">
        <f t="shared" si="22"/>
        <v>18</v>
      </c>
      <c r="L34" s="61">
        <f>4+8+8-1</f>
        <v>19</v>
      </c>
      <c r="M34" s="62">
        <v>4</v>
      </c>
      <c r="N34" s="63"/>
      <c r="O34" s="29">
        <f t="shared" si="23"/>
        <v>23</v>
      </c>
      <c r="P34" s="28">
        <f>20-1-1-1</f>
        <v>17</v>
      </c>
      <c r="Q34" s="28"/>
      <c r="R34" s="29"/>
      <c r="S34" s="29">
        <f t="shared" si="24"/>
        <v>17</v>
      </c>
      <c r="T34" s="32">
        <f aca="true" t="shared" si="27" ref="T34:V36">D34+H34+L34+P34</f>
        <v>83</v>
      </c>
      <c r="U34" s="32">
        <f t="shared" si="27"/>
        <v>7</v>
      </c>
      <c r="V34" s="32">
        <f t="shared" si="27"/>
        <v>0</v>
      </c>
      <c r="W34" s="33">
        <f t="shared" si="26"/>
        <v>90</v>
      </c>
    </row>
    <row r="35" spans="1:23" ht="15">
      <c r="A35" s="60">
        <v>26</v>
      </c>
      <c r="B35" s="136">
        <v>60710100</v>
      </c>
      <c r="C35" s="52" t="s">
        <v>70</v>
      </c>
      <c r="D35" s="96">
        <v>22</v>
      </c>
      <c r="E35" s="96"/>
      <c r="F35" s="96"/>
      <c r="G35" s="63">
        <f t="shared" si="21"/>
        <v>22</v>
      </c>
      <c r="H35" s="96">
        <f>15-1-1</f>
        <v>13</v>
      </c>
      <c r="I35" s="96"/>
      <c r="J35" s="97"/>
      <c r="K35" s="29">
        <f t="shared" si="22"/>
        <v>13</v>
      </c>
      <c r="L35" s="61">
        <f>11-2</f>
        <v>9</v>
      </c>
      <c r="M35" s="62">
        <f>4-1</f>
        <v>3</v>
      </c>
      <c r="N35" s="63"/>
      <c r="O35" s="29">
        <f t="shared" si="23"/>
        <v>12</v>
      </c>
      <c r="P35" s="28">
        <f>12-1</f>
        <v>11</v>
      </c>
      <c r="Q35" s="28">
        <f>4-1</f>
        <v>3</v>
      </c>
      <c r="R35" s="29"/>
      <c r="S35" s="29">
        <f t="shared" si="24"/>
        <v>14</v>
      </c>
      <c r="T35" s="32">
        <f t="shared" si="27"/>
        <v>55</v>
      </c>
      <c r="U35" s="32">
        <f t="shared" si="27"/>
        <v>6</v>
      </c>
      <c r="V35" s="32">
        <f t="shared" si="27"/>
        <v>0</v>
      </c>
      <c r="W35" s="33">
        <f t="shared" si="26"/>
        <v>61</v>
      </c>
    </row>
    <row r="36" spans="1:23" s="27" customFormat="1" ht="22.5">
      <c r="A36" s="60">
        <v>27</v>
      </c>
      <c r="B36" s="136">
        <v>60720600</v>
      </c>
      <c r="C36" s="52" t="s">
        <v>69</v>
      </c>
      <c r="D36" s="96"/>
      <c r="E36" s="96"/>
      <c r="F36" s="96"/>
      <c r="G36" s="63">
        <f t="shared" si="21"/>
        <v>0</v>
      </c>
      <c r="H36" s="96">
        <f>5-1</f>
        <v>4</v>
      </c>
      <c r="I36" s="96"/>
      <c r="J36" s="97"/>
      <c r="K36" s="25">
        <f t="shared" si="22"/>
        <v>4</v>
      </c>
      <c r="L36" s="61"/>
      <c r="M36" s="62"/>
      <c r="N36" s="63"/>
      <c r="O36" s="25">
        <f t="shared" si="23"/>
        <v>0</v>
      </c>
      <c r="P36" s="28"/>
      <c r="Q36" s="28"/>
      <c r="R36" s="29"/>
      <c r="S36" s="25">
        <f t="shared" si="24"/>
        <v>0</v>
      </c>
      <c r="T36" s="13">
        <f t="shared" si="27"/>
        <v>4</v>
      </c>
      <c r="U36" s="13">
        <f t="shared" si="27"/>
        <v>0</v>
      </c>
      <c r="V36" s="13">
        <f t="shared" si="27"/>
        <v>0</v>
      </c>
      <c r="W36" s="14">
        <f t="shared" si="26"/>
        <v>4</v>
      </c>
    </row>
    <row r="37" spans="1:23" s="27" customFormat="1" ht="15">
      <c r="A37" s="60">
        <v>28</v>
      </c>
      <c r="B37" s="163">
        <v>60110800</v>
      </c>
      <c r="C37" s="78" t="s">
        <v>21</v>
      </c>
      <c r="D37" s="99"/>
      <c r="E37" s="99"/>
      <c r="F37" s="99"/>
      <c r="G37" s="63">
        <f t="shared" si="21"/>
        <v>0</v>
      </c>
      <c r="H37" s="99"/>
      <c r="I37" s="99"/>
      <c r="J37" s="98"/>
      <c r="K37" s="25">
        <f t="shared" si="22"/>
        <v>0</v>
      </c>
      <c r="L37" s="66"/>
      <c r="M37" s="66"/>
      <c r="N37" s="77"/>
      <c r="O37" s="25">
        <f t="shared" si="23"/>
        <v>0</v>
      </c>
      <c r="P37" s="28">
        <f>10-1-1</f>
        <v>8</v>
      </c>
      <c r="Q37" s="28">
        <v>5</v>
      </c>
      <c r="R37" s="29">
        <v>5</v>
      </c>
      <c r="S37" s="25">
        <f t="shared" si="24"/>
        <v>18</v>
      </c>
      <c r="T37" s="13">
        <f>D37+H37+L37+P37</f>
        <v>8</v>
      </c>
      <c r="U37" s="13">
        <f>E37+I37+M37+Q37</f>
        <v>5</v>
      </c>
      <c r="V37" s="13">
        <f>F37+J37+N37+R37</f>
        <v>5</v>
      </c>
      <c r="W37" s="14">
        <f t="shared" si="26"/>
        <v>18</v>
      </c>
    </row>
    <row r="38" spans="1:23" ht="12.75">
      <c r="A38" s="95">
        <v>6</v>
      </c>
      <c r="B38" s="161"/>
      <c r="C38" s="149" t="s">
        <v>50</v>
      </c>
      <c r="D38" s="101">
        <f>+D39+D40+D41+D42+D43</f>
        <v>40</v>
      </c>
      <c r="E38" s="101">
        <f>+E39+E40+E41+E42+E43</f>
        <v>0</v>
      </c>
      <c r="F38" s="101">
        <f>+F39+F40+F41+F42+F43</f>
        <v>0</v>
      </c>
      <c r="G38" s="101">
        <f aca="true" t="shared" si="28" ref="G38:W38">+G39+G40+G41+G42+G43</f>
        <v>40</v>
      </c>
      <c r="H38" s="101">
        <f t="shared" si="28"/>
        <v>45</v>
      </c>
      <c r="I38" s="101">
        <f t="shared" si="28"/>
        <v>0</v>
      </c>
      <c r="J38" s="101">
        <f t="shared" si="28"/>
        <v>0</v>
      </c>
      <c r="K38" s="101">
        <f t="shared" si="28"/>
        <v>45</v>
      </c>
      <c r="L38" s="101">
        <f t="shared" si="28"/>
        <v>22</v>
      </c>
      <c r="M38" s="101">
        <f t="shared" si="28"/>
        <v>6</v>
      </c>
      <c r="N38" s="101">
        <f t="shared" si="28"/>
        <v>0</v>
      </c>
      <c r="O38" s="101">
        <f t="shared" si="28"/>
        <v>28</v>
      </c>
      <c r="P38" s="101">
        <f t="shared" si="28"/>
        <v>36</v>
      </c>
      <c r="Q38" s="101">
        <f t="shared" si="28"/>
        <v>5</v>
      </c>
      <c r="R38" s="101">
        <f t="shared" si="28"/>
        <v>0</v>
      </c>
      <c r="S38" s="101">
        <f t="shared" si="28"/>
        <v>41</v>
      </c>
      <c r="T38" s="101">
        <f t="shared" si="28"/>
        <v>143</v>
      </c>
      <c r="U38" s="101">
        <f t="shared" si="28"/>
        <v>11</v>
      </c>
      <c r="V38" s="101">
        <f t="shared" si="28"/>
        <v>0</v>
      </c>
      <c r="W38" s="101">
        <f t="shared" si="28"/>
        <v>154</v>
      </c>
    </row>
    <row r="39" spans="1:23" s="40" customFormat="1" ht="22.5">
      <c r="A39" s="60">
        <v>29</v>
      </c>
      <c r="B39" s="136">
        <v>60710400</v>
      </c>
      <c r="C39" s="52" t="s">
        <v>71</v>
      </c>
      <c r="D39" s="96">
        <v>5</v>
      </c>
      <c r="E39" s="96"/>
      <c r="F39" s="96"/>
      <c r="G39" s="63">
        <f>D39+E39+F39</f>
        <v>5</v>
      </c>
      <c r="H39" s="96">
        <f>16+1-1-1-1</f>
        <v>14</v>
      </c>
      <c r="I39" s="96"/>
      <c r="J39" s="96"/>
      <c r="K39" s="29">
        <f>H39+I39+J39</f>
        <v>14</v>
      </c>
      <c r="L39" s="61">
        <f>15-1-1-1-1-1-1</f>
        <v>9</v>
      </c>
      <c r="M39" s="62"/>
      <c r="N39" s="62"/>
      <c r="O39" s="29">
        <f>L39+M39+N39</f>
        <v>9</v>
      </c>
      <c r="P39" s="28">
        <f>10-1</f>
        <v>9</v>
      </c>
      <c r="Q39" s="28"/>
      <c r="R39" s="28"/>
      <c r="S39" s="29">
        <f>P39+Q39+R39</f>
        <v>9</v>
      </c>
      <c r="T39" s="25">
        <f aca="true" t="shared" si="29" ref="T39:V41">D39+H39+L39+P39</f>
        <v>37</v>
      </c>
      <c r="U39" s="25">
        <f t="shared" si="29"/>
        <v>0</v>
      </c>
      <c r="V39" s="25">
        <f t="shared" si="29"/>
        <v>0</v>
      </c>
      <c r="W39" s="34">
        <f>T39+U39+V39</f>
        <v>37</v>
      </c>
    </row>
    <row r="40" spans="1:23" s="36" customFormat="1" ht="15">
      <c r="A40" s="60">
        <v>30</v>
      </c>
      <c r="B40" s="136">
        <v>60530400</v>
      </c>
      <c r="C40" s="69" t="s">
        <v>19</v>
      </c>
      <c r="D40" s="96">
        <v>25</v>
      </c>
      <c r="E40" s="96"/>
      <c r="F40" s="96"/>
      <c r="G40" s="63">
        <f>D40+E40+F40</f>
        <v>25</v>
      </c>
      <c r="H40" s="96">
        <f>17+1</f>
        <v>18</v>
      </c>
      <c r="I40" s="96"/>
      <c r="J40" s="97"/>
      <c r="K40" s="29">
        <f>H40+I40+J40</f>
        <v>18</v>
      </c>
      <c r="L40" s="61">
        <f>8-1-1</f>
        <v>6</v>
      </c>
      <c r="M40" s="62">
        <f>3-1</f>
        <v>2</v>
      </c>
      <c r="N40" s="63"/>
      <c r="O40" s="29">
        <f>L40+M40+N40</f>
        <v>8</v>
      </c>
      <c r="P40" s="28">
        <f>12+1-1-1</f>
        <v>11</v>
      </c>
      <c r="Q40" s="28"/>
      <c r="R40" s="29"/>
      <c r="S40" s="29">
        <f>P40+Q40+R40</f>
        <v>11</v>
      </c>
      <c r="T40" s="32">
        <f t="shared" si="29"/>
        <v>60</v>
      </c>
      <c r="U40" s="32">
        <f t="shared" si="29"/>
        <v>2</v>
      </c>
      <c r="V40" s="32">
        <f t="shared" si="29"/>
        <v>0</v>
      </c>
      <c r="W40" s="33">
        <f>T40+U40+V40</f>
        <v>62</v>
      </c>
    </row>
    <row r="41" spans="1:23" s="36" customFormat="1" ht="15">
      <c r="A41" s="60">
        <v>31</v>
      </c>
      <c r="B41" s="136">
        <v>60520100</v>
      </c>
      <c r="C41" s="69" t="s">
        <v>46</v>
      </c>
      <c r="D41" s="96"/>
      <c r="E41" s="96"/>
      <c r="F41" s="96"/>
      <c r="G41" s="63">
        <f>D41+E41+F41</f>
        <v>0</v>
      </c>
      <c r="H41" s="96">
        <f>5-2</f>
        <v>3</v>
      </c>
      <c r="I41" s="96"/>
      <c r="J41" s="97"/>
      <c r="K41" s="29">
        <f>H41+I41+J41</f>
        <v>3</v>
      </c>
      <c r="L41" s="61"/>
      <c r="M41" s="62"/>
      <c r="N41" s="63"/>
      <c r="O41" s="29">
        <f>L41+M41+N41</f>
        <v>0</v>
      </c>
      <c r="P41" s="28"/>
      <c r="Q41" s="28"/>
      <c r="R41" s="29"/>
      <c r="S41" s="29">
        <f>P41+Q41+R41</f>
        <v>0</v>
      </c>
      <c r="T41" s="32">
        <f t="shared" si="29"/>
        <v>3</v>
      </c>
      <c r="U41" s="32">
        <f t="shared" si="29"/>
        <v>0</v>
      </c>
      <c r="V41" s="32">
        <f t="shared" si="29"/>
        <v>0</v>
      </c>
      <c r="W41" s="33">
        <f>T41+U41+V41</f>
        <v>3</v>
      </c>
    </row>
    <row r="42" spans="1:23" s="36" customFormat="1" ht="15">
      <c r="A42" s="60">
        <v>32</v>
      </c>
      <c r="B42" s="163">
        <v>60111000</v>
      </c>
      <c r="C42" s="93" t="s">
        <v>104</v>
      </c>
      <c r="D42" s="99"/>
      <c r="E42" s="99"/>
      <c r="F42" s="96"/>
      <c r="G42" s="63">
        <f>D42+E42+F42</f>
        <v>0</v>
      </c>
      <c r="H42" s="99"/>
      <c r="I42" s="99"/>
      <c r="J42" s="97"/>
      <c r="K42" s="29">
        <f>H42+I42+J42</f>
        <v>0</v>
      </c>
      <c r="L42" s="66"/>
      <c r="M42" s="67"/>
      <c r="N42" s="63"/>
      <c r="O42" s="29">
        <f>L42+M42+N42</f>
        <v>0</v>
      </c>
      <c r="P42" s="28">
        <f>8+1</f>
        <v>9</v>
      </c>
      <c r="Q42" s="28">
        <f>3-1</f>
        <v>2</v>
      </c>
      <c r="R42" s="29"/>
      <c r="S42" s="29">
        <f>P42+Q42+R42</f>
        <v>11</v>
      </c>
      <c r="T42" s="32">
        <f aca="true" t="shared" si="30" ref="T42:V43">D42+H42+L42+P42</f>
        <v>9</v>
      </c>
      <c r="U42" s="32">
        <f t="shared" si="30"/>
        <v>2</v>
      </c>
      <c r="V42" s="32">
        <f t="shared" si="30"/>
        <v>0</v>
      </c>
      <c r="W42" s="33">
        <f>T42+U42+V42</f>
        <v>11</v>
      </c>
    </row>
    <row r="43" spans="1:23" s="36" customFormat="1" ht="15">
      <c r="A43" s="60">
        <v>33</v>
      </c>
      <c r="B43" s="136">
        <v>60530500</v>
      </c>
      <c r="C43" s="93" t="s">
        <v>105</v>
      </c>
      <c r="D43" s="99">
        <v>10</v>
      </c>
      <c r="E43" s="99"/>
      <c r="F43" s="96"/>
      <c r="G43" s="63">
        <f>D43+E43+F43</f>
        <v>10</v>
      </c>
      <c r="H43" s="99">
        <v>10</v>
      </c>
      <c r="I43" s="99"/>
      <c r="J43" s="97"/>
      <c r="K43" s="29">
        <f>H43+I43+J43</f>
        <v>10</v>
      </c>
      <c r="L43" s="66">
        <v>7</v>
      </c>
      <c r="M43" s="67">
        <v>4</v>
      </c>
      <c r="N43" s="63"/>
      <c r="O43" s="29">
        <f>L43+M43+N43</f>
        <v>11</v>
      </c>
      <c r="P43" s="28">
        <v>7</v>
      </c>
      <c r="Q43" s="28">
        <f>4-1</f>
        <v>3</v>
      </c>
      <c r="R43" s="29"/>
      <c r="S43" s="29">
        <f>P43+Q43+R43</f>
        <v>10</v>
      </c>
      <c r="T43" s="32">
        <f t="shared" si="30"/>
        <v>34</v>
      </c>
      <c r="U43" s="32">
        <f t="shared" si="30"/>
        <v>7</v>
      </c>
      <c r="V43" s="32">
        <f t="shared" si="30"/>
        <v>0</v>
      </c>
      <c r="W43" s="33">
        <f>T43+U43+V43</f>
        <v>41</v>
      </c>
    </row>
    <row r="44" spans="1:23" ht="12.75">
      <c r="A44" s="95">
        <v>7</v>
      </c>
      <c r="B44" s="161"/>
      <c r="C44" s="154" t="s">
        <v>119</v>
      </c>
      <c r="D44" s="101">
        <f>+D45+D46+D47+D48+D49</f>
        <v>28</v>
      </c>
      <c r="E44" s="101">
        <f>+E45+E46+E47+E48+E49</f>
        <v>0</v>
      </c>
      <c r="F44" s="101">
        <f>+F45+F46+F47+F48+F49</f>
        <v>0</v>
      </c>
      <c r="G44" s="101">
        <f aca="true" t="shared" si="31" ref="G44:W44">+G45+G46+G47+G48+G49</f>
        <v>28</v>
      </c>
      <c r="H44" s="101">
        <f t="shared" si="31"/>
        <v>25</v>
      </c>
      <c r="I44" s="101">
        <f t="shared" si="31"/>
        <v>0</v>
      </c>
      <c r="J44" s="101">
        <f t="shared" si="31"/>
        <v>0</v>
      </c>
      <c r="K44" s="101">
        <f t="shared" si="31"/>
        <v>25</v>
      </c>
      <c r="L44" s="101">
        <f t="shared" si="31"/>
        <v>10</v>
      </c>
      <c r="M44" s="101">
        <f t="shared" si="31"/>
        <v>0</v>
      </c>
      <c r="N44" s="101">
        <f t="shared" si="31"/>
        <v>0</v>
      </c>
      <c r="O44" s="101">
        <f t="shared" si="31"/>
        <v>10</v>
      </c>
      <c r="P44" s="101">
        <f t="shared" si="31"/>
        <v>11</v>
      </c>
      <c r="Q44" s="101">
        <f t="shared" si="31"/>
        <v>0</v>
      </c>
      <c r="R44" s="101">
        <f t="shared" si="31"/>
        <v>0</v>
      </c>
      <c r="S44" s="101">
        <f t="shared" si="31"/>
        <v>11</v>
      </c>
      <c r="T44" s="101">
        <f t="shared" si="31"/>
        <v>74</v>
      </c>
      <c r="U44" s="101">
        <f t="shared" si="31"/>
        <v>0</v>
      </c>
      <c r="V44" s="101">
        <f t="shared" si="31"/>
        <v>0</v>
      </c>
      <c r="W44" s="101">
        <f t="shared" si="31"/>
        <v>74</v>
      </c>
    </row>
    <row r="45" spans="1:23" s="36" customFormat="1" ht="15">
      <c r="A45" s="60">
        <v>34</v>
      </c>
      <c r="B45" s="136">
        <v>60230600</v>
      </c>
      <c r="C45" s="52" t="s">
        <v>14</v>
      </c>
      <c r="D45" s="96">
        <v>17</v>
      </c>
      <c r="E45" s="96"/>
      <c r="F45" s="96"/>
      <c r="G45" s="63">
        <f>D45+E45+F45</f>
        <v>17</v>
      </c>
      <c r="H45" s="96">
        <f>7-1</f>
        <v>6</v>
      </c>
      <c r="I45" s="96"/>
      <c r="J45" s="96"/>
      <c r="K45" s="25">
        <f>H45+I45+J45</f>
        <v>6</v>
      </c>
      <c r="L45" s="61">
        <v>10</v>
      </c>
      <c r="M45" s="62"/>
      <c r="N45" s="62"/>
      <c r="O45" s="25">
        <f>L45+M45+N45</f>
        <v>10</v>
      </c>
      <c r="P45" s="28">
        <f>3+10-1-1</f>
        <v>11</v>
      </c>
      <c r="Q45" s="28"/>
      <c r="R45" s="28"/>
      <c r="S45" s="25">
        <f>P45+Q45+R45</f>
        <v>11</v>
      </c>
      <c r="T45" s="32">
        <f>D45+H45+L45+P45</f>
        <v>44</v>
      </c>
      <c r="U45" s="32">
        <f>E45+I45+M45+Q45</f>
        <v>0</v>
      </c>
      <c r="V45" s="32">
        <f>F45+J45+N45+R45</f>
        <v>0</v>
      </c>
      <c r="W45" s="33">
        <f>T45+U45+V45</f>
        <v>44</v>
      </c>
    </row>
    <row r="46" spans="1:23" s="36" customFormat="1" ht="15">
      <c r="A46" s="60">
        <v>35</v>
      </c>
      <c r="B46" s="94">
        <v>60410500</v>
      </c>
      <c r="C46" s="93" t="s">
        <v>130</v>
      </c>
      <c r="D46" s="96">
        <v>6</v>
      </c>
      <c r="E46" s="96"/>
      <c r="F46" s="96"/>
      <c r="G46" s="63">
        <f>D46+E46+F46</f>
        <v>6</v>
      </c>
      <c r="H46" s="96">
        <v>5</v>
      </c>
      <c r="I46" s="96"/>
      <c r="J46" s="96"/>
      <c r="K46" s="25">
        <f>H46+I46+J46</f>
        <v>5</v>
      </c>
      <c r="L46" s="61"/>
      <c r="M46" s="61"/>
      <c r="N46" s="61"/>
      <c r="O46" s="25">
        <f>L46+M46+N46</f>
        <v>0</v>
      </c>
      <c r="P46" s="28"/>
      <c r="Q46" s="28"/>
      <c r="R46" s="28"/>
      <c r="S46" s="25">
        <f>P46+Q46+R46</f>
        <v>0</v>
      </c>
      <c r="T46" s="32">
        <f aca="true" t="shared" si="32" ref="T46:V49">D46+H46+L46+P46</f>
        <v>11</v>
      </c>
      <c r="U46" s="32">
        <f t="shared" si="32"/>
        <v>0</v>
      </c>
      <c r="V46" s="32">
        <f t="shared" si="32"/>
        <v>0</v>
      </c>
      <c r="W46" s="33">
        <f>T46+U46+V46</f>
        <v>11</v>
      </c>
    </row>
    <row r="47" spans="1:23" s="36" customFormat="1" ht="15">
      <c r="A47" s="60">
        <v>36</v>
      </c>
      <c r="B47" s="94">
        <v>60411400</v>
      </c>
      <c r="C47" s="93" t="s">
        <v>131</v>
      </c>
      <c r="D47" s="96">
        <v>5</v>
      </c>
      <c r="E47" s="96"/>
      <c r="F47" s="96"/>
      <c r="G47" s="63">
        <f>D47+E47+F47</f>
        <v>5</v>
      </c>
      <c r="H47" s="96">
        <f>5-1</f>
        <v>4</v>
      </c>
      <c r="I47" s="96"/>
      <c r="J47" s="96"/>
      <c r="K47" s="25">
        <f>H47+I47+J47</f>
        <v>4</v>
      </c>
      <c r="L47" s="61"/>
      <c r="M47" s="61"/>
      <c r="N47" s="61"/>
      <c r="O47" s="25">
        <f>L47+M47+N47</f>
        <v>0</v>
      </c>
      <c r="P47" s="28"/>
      <c r="Q47" s="28"/>
      <c r="R47" s="28"/>
      <c r="S47" s="25">
        <f>P47+Q47+R47</f>
        <v>0</v>
      </c>
      <c r="T47" s="32">
        <f t="shared" si="32"/>
        <v>9</v>
      </c>
      <c r="U47" s="32">
        <f t="shared" si="32"/>
        <v>0</v>
      </c>
      <c r="V47" s="32">
        <f t="shared" si="32"/>
        <v>0</v>
      </c>
      <c r="W47" s="33">
        <f>T47+U47+V47</f>
        <v>9</v>
      </c>
    </row>
    <row r="48" spans="1:23" s="36" customFormat="1" ht="15">
      <c r="A48" s="60">
        <v>37</v>
      </c>
      <c r="B48" s="94">
        <v>60412400</v>
      </c>
      <c r="C48" s="93" t="s">
        <v>132</v>
      </c>
      <c r="D48" s="96"/>
      <c r="E48" s="96"/>
      <c r="F48" s="96"/>
      <c r="G48" s="63">
        <f>D48+E48+F48</f>
        <v>0</v>
      </c>
      <c r="H48" s="96">
        <f>5-1</f>
        <v>4</v>
      </c>
      <c r="I48" s="96"/>
      <c r="J48" s="96"/>
      <c r="K48" s="25">
        <f>H48+I48+J48</f>
        <v>4</v>
      </c>
      <c r="L48" s="61"/>
      <c r="M48" s="61"/>
      <c r="N48" s="61"/>
      <c r="O48" s="25">
        <f>L48+M48+N48</f>
        <v>0</v>
      </c>
      <c r="P48" s="28"/>
      <c r="Q48" s="28"/>
      <c r="R48" s="28"/>
      <c r="S48" s="25">
        <f>P48+Q48+R48</f>
        <v>0</v>
      </c>
      <c r="T48" s="32">
        <f t="shared" si="32"/>
        <v>4</v>
      </c>
      <c r="U48" s="32">
        <f t="shared" si="32"/>
        <v>0</v>
      </c>
      <c r="V48" s="32">
        <f t="shared" si="32"/>
        <v>0</v>
      </c>
      <c r="W48" s="33">
        <f>T48+U48+V48</f>
        <v>4</v>
      </c>
    </row>
    <row r="49" spans="1:23" s="36" customFormat="1" ht="15">
      <c r="A49" s="60">
        <v>38</v>
      </c>
      <c r="B49" s="94">
        <v>60310500</v>
      </c>
      <c r="C49" s="93" t="s">
        <v>133</v>
      </c>
      <c r="D49" s="96"/>
      <c r="E49" s="96"/>
      <c r="F49" s="96"/>
      <c r="G49" s="63">
        <f>D49+E49+F49</f>
        <v>0</v>
      </c>
      <c r="H49" s="96">
        <v>6</v>
      </c>
      <c r="I49" s="96"/>
      <c r="J49" s="96"/>
      <c r="K49" s="25">
        <f>H49+I49+J49</f>
        <v>6</v>
      </c>
      <c r="L49" s="61"/>
      <c r="M49" s="61"/>
      <c r="N49" s="61"/>
      <c r="O49" s="25">
        <f>L49+M49+N49</f>
        <v>0</v>
      </c>
      <c r="P49" s="28"/>
      <c r="Q49" s="28"/>
      <c r="R49" s="28"/>
      <c r="S49" s="25">
        <f>P49+Q49+R49</f>
        <v>0</v>
      </c>
      <c r="T49" s="32">
        <f t="shared" si="32"/>
        <v>6</v>
      </c>
      <c r="U49" s="32">
        <f t="shared" si="32"/>
        <v>0</v>
      </c>
      <c r="V49" s="32">
        <f t="shared" si="32"/>
        <v>0</v>
      </c>
      <c r="W49" s="33">
        <f>T49+U49+V49</f>
        <v>6</v>
      </c>
    </row>
    <row r="50" spans="1:23" s="8" customFormat="1" ht="14.25">
      <c r="A50" s="95">
        <v>8</v>
      </c>
      <c r="B50" s="161"/>
      <c r="C50" s="149" t="s">
        <v>135</v>
      </c>
      <c r="D50" s="101">
        <f>D51+D52+D53+D54+D55</f>
        <v>65</v>
      </c>
      <c r="E50" s="101">
        <f>E51+E52+E53+E54+E55</f>
        <v>0</v>
      </c>
      <c r="F50" s="101">
        <f>F51+F52+F53+F54+F55</f>
        <v>0</v>
      </c>
      <c r="G50" s="109">
        <f aca="true" t="shared" si="33" ref="G50:W50">G51+G52+G53+G54+G55</f>
        <v>65</v>
      </c>
      <c r="H50" s="101">
        <f>H51+H52+H53+H54+H55</f>
        <v>60</v>
      </c>
      <c r="I50" s="101">
        <f>I51+I52+I53+I54+I55</f>
        <v>9</v>
      </c>
      <c r="J50" s="101">
        <f>J51+J52+J53+J54+J55</f>
        <v>0</v>
      </c>
      <c r="K50" s="109">
        <f t="shared" si="33"/>
        <v>69</v>
      </c>
      <c r="L50" s="109">
        <f>L51+L52+L53+L54+L55</f>
        <v>50</v>
      </c>
      <c r="M50" s="109">
        <f>M51+M52+M53+M54+M55</f>
        <v>8</v>
      </c>
      <c r="N50" s="109">
        <f>N51+N52+N53+N54+N55</f>
        <v>0</v>
      </c>
      <c r="O50" s="109">
        <f t="shared" si="33"/>
        <v>58</v>
      </c>
      <c r="P50" s="109">
        <f>P51+P52+P53+P54+P55</f>
        <v>25</v>
      </c>
      <c r="Q50" s="109">
        <f>Q51+Q52+Q53+Q54+Q55</f>
        <v>2</v>
      </c>
      <c r="R50" s="109">
        <f>R51+R52+R53+R54+R55</f>
        <v>0</v>
      </c>
      <c r="S50" s="109">
        <f t="shared" si="33"/>
        <v>27</v>
      </c>
      <c r="T50" s="109">
        <f t="shared" si="33"/>
        <v>200</v>
      </c>
      <c r="U50" s="109">
        <f t="shared" si="33"/>
        <v>19</v>
      </c>
      <c r="V50" s="109">
        <f t="shared" si="33"/>
        <v>0</v>
      </c>
      <c r="W50" s="109">
        <f t="shared" si="33"/>
        <v>219</v>
      </c>
    </row>
    <row r="51" spans="1:23" s="36" customFormat="1" ht="15">
      <c r="A51" s="60">
        <v>39</v>
      </c>
      <c r="B51" s="136">
        <v>60310900</v>
      </c>
      <c r="C51" s="52" t="s">
        <v>54</v>
      </c>
      <c r="D51" s="96"/>
      <c r="E51" s="96"/>
      <c r="F51" s="96"/>
      <c r="G51" s="63">
        <f>D51+E51+F51</f>
        <v>0</v>
      </c>
      <c r="H51" s="96">
        <f>35+4-1-1-1</f>
        <v>36</v>
      </c>
      <c r="I51" s="96">
        <f>12-1-1-1</f>
        <v>9</v>
      </c>
      <c r="J51" s="96"/>
      <c r="K51" s="29">
        <f>H51+I51+J51</f>
        <v>45</v>
      </c>
      <c r="L51" s="61"/>
      <c r="M51" s="62"/>
      <c r="N51" s="62"/>
      <c r="O51" s="29">
        <f>L51+M51+N51</f>
        <v>0</v>
      </c>
      <c r="P51" s="28"/>
      <c r="Q51" s="28"/>
      <c r="R51" s="28"/>
      <c r="S51" s="29">
        <f>P51+Q51+R51</f>
        <v>0</v>
      </c>
      <c r="T51" s="32">
        <f aca="true" t="shared" si="34" ref="T51:V52">D51+H51+L51+P51</f>
        <v>36</v>
      </c>
      <c r="U51" s="32">
        <f t="shared" si="34"/>
        <v>9</v>
      </c>
      <c r="V51" s="32">
        <f t="shared" si="34"/>
        <v>0</v>
      </c>
      <c r="W51" s="33">
        <f>T51+U51+V51</f>
        <v>45</v>
      </c>
    </row>
    <row r="52" spans="1:23" s="36" customFormat="1" ht="15">
      <c r="A52" s="60">
        <v>40</v>
      </c>
      <c r="B52" s="94">
        <v>5520100</v>
      </c>
      <c r="C52" s="69" t="s">
        <v>20</v>
      </c>
      <c r="D52" s="96">
        <v>6</v>
      </c>
      <c r="E52" s="96"/>
      <c r="F52" s="96"/>
      <c r="G52" s="63">
        <f>D52+E52+F52</f>
        <v>6</v>
      </c>
      <c r="H52" s="96">
        <f>10-1+1</f>
        <v>10</v>
      </c>
      <c r="I52" s="96"/>
      <c r="J52" s="96"/>
      <c r="K52" s="25">
        <f>H52+I52+J52</f>
        <v>10</v>
      </c>
      <c r="L52" s="61">
        <f>11-1</f>
        <v>10</v>
      </c>
      <c r="M52" s="62"/>
      <c r="N52" s="62"/>
      <c r="O52" s="25">
        <f>L52+M52+N52</f>
        <v>10</v>
      </c>
      <c r="P52" s="28">
        <f>6+1-1</f>
        <v>6</v>
      </c>
      <c r="Q52" s="28">
        <v>1</v>
      </c>
      <c r="R52" s="28"/>
      <c r="S52" s="25">
        <f>P52+Q52+R52</f>
        <v>7</v>
      </c>
      <c r="T52" s="32">
        <f t="shared" si="34"/>
        <v>32</v>
      </c>
      <c r="U52" s="32">
        <f t="shared" si="34"/>
        <v>1</v>
      </c>
      <c r="V52" s="32">
        <f t="shared" si="34"/>
        <v>0</v>
      </c>
      <c r="W52" s="33">
        <f>T52+U52+V52</f>
        <v>33</v>
      </c>
    </row>
    <row r="53" spans="1:23" s="36" customFormat="1" ht="15">
      <c r="A53" s="60">
        <v>41</v>
      </c>
      <c r="B53" s="136">
        <v>60311000</v>
      </c>
      <c r="C53" s="78" t="s">
        <v>81</v>
      </c>
      <c r="D53" s="96">
        <v>10</v>
      </c>
      <c r="E53" s="96"/>
      <c r="F53" s="96"/>
      <c r="G53" s="63">
        <f>D53+E53+F53</f>
        <v>10</v>
      </c>
      <c r="H53" s="96">
        <f>10-1</f>
        <v>9</v>
      </c>
      <c r="I53" s="96"/>
      <c r="J53" s="96"/>
      <c r="K53" s="25">
        <f>H53+I53+J53</f>
        <v>9</v>
      </c>
      <c r="L53" s="61">
        <f>14-2-2-1-3</f>
        <v>6</v>
      </c>
      <c r="M53" s="62"/>
      <c r="N53" s="62"/>
      <c r="O53" s="25">
        <f>L53+M53+N53</f>
        <v>6</v>
      </c>
      <c r="P53" s="28">
        <f>11-2</f>
        <v>9</v>
      </c>
      <c r="Q53" s="28"/>
      <c r="R53" s="28"/>
      <c r="S53" s="25">
        <f>P53+Q53+R53</f>
        <v>9</v>
      </c>
      <c r="T53" s="32">
        <f aca="true" t="shared" si="35" ref="T53:V54">D53+H53+L53+P53</f>
        <v>34</v>
      </c>
      <c r="U53" s="32">
        <f t="shared" si="35"/>
        <v>0</v>
      </c>
      <c r="V53" s="32">
        <f t="shared" si="35"/>
        <v>0</v>
      </c>
      <c r="W53" s="33">
        <f>T53+U53+V53</f>
        <v>34</v>
      </c>
    </row>
    <row r="54" spans="1:23" s="36" customFormat="1" ht="15">
      <c r="A54" s="60">
        <v>42</v>
      </c>
      <c r="B54" s="136">
        <v>60310900</v>
      </c>
      <c r="C54" s="78" t="s">
        <v>82</v>
      </c>
      <c r="D54" s="96">
        <f>1+48</f>
        <v>49</v>
      </c>
      <c r="E54" s="96"/>
      <c r="F54" s="96"/>
      <c r="G54" s="63">
        <f>D54+E54+F54</f>
        <v>49</v>
      </c>
      <c r="H54" s="96"/>
      <c r="I54" s="96"/>
      <c r="J54" s="96"/>
      <c r="K54" s="25">
        <f>H54+I54+J54</f>
        <v>0</v>
      </c>
      <c r="L54" s="61">
        <f>38-2-1-1</f>
        <v>34</v>
      </c>
      <c r="M54" s="62">
        <f>10-1-1</f>
        <v>8</v>
      </c>
      <c r="N54" s="62"/>
      <c r="O54" s="25">
        <f>L54+M54+N54</f>
        <v>42</v>
      </c>
      <c r="P54" s="28">
        <f>13+1-1-1+1-1-1-1</f>
        <v>10</v>
      </c>
      <c r="Q54" s="28">
        <v>1</v>
      </c>
      <c r="R54" s="28"/>
      <c r="S54" s="25">
        <f>P54+Q54+R54</f>
        <v>11</v>
      </c>
      <c r="T54" s="32">
        <f t="shared" si="35"/>
        <v>93</v>
      </c>
      <c r="U54" s="32">
        <f t="shared" si="35"/>
        <v>9</v>
      </c>
      <c r="V54" s="32">
        <f t="shared" si="35"/>
        <v>0</v>
      </c>
      <c r="W54" s="33">
        <f>T54+U54+V54</f>
        <v>102</v>
      </c>
    </row>
    <row r="55" spans="1:23" s="36" customFormat="1" ht="15">
      <c r="A55" s="60">
        <v>43</v>
      </c>
      <c r="B55" s="136">
        <v>60220500</v>
      </c>
      <c r="C55" s="69" t="s">
        <v>60</v>
      </c>
      <c r="D55" s="96"/>
      <c r="E55" s="96"/>
      <c r="F55" s="96"/>
      <c r="G55" s="63">
        <f>D55+E55+F55</f>
        <v>0</v>
      </c>
      <c r="H55" s="96">
        <f>6-1</f>
        <v>5</v>
      </c>
      <c r="I55" s="96"/>
      <c r="J55" s="96"/>
      <c r="K55" s="25">
        <f>H55+I55+J55</f>
        <v>5</v>
      </c>
      <c r="L55" s="61"/>
      <c r="M55" s="62"/>
      <c r="N55" s="62"/>
      <c r="O55" s="25">
        <f>L55+M55+N55</f>
        <v>0</v>
      </c>
      <c r="P55" s="28"/>
      <c r="Q55" s="28"/>
      <c r="R55" s="28"/>
      <c r="S55" s="25">
        <f>P55+Q55+R55</f>
        <v>0</v>
      </c>
      <c r="T55" s="32">
        <f>D55+H55+L55+P55</f>
        <v>5</v>
      </c>
      <c r="U55" s="32">
        <f>E55+I55+M55+Q55</f>
        <v>0</v>
      </c>
      <c r="V55" s="32">
        <f>F55+J55+N55+R55</f>
        <v>0</v>
      </c>
      <c r="W55" s="33">
        <f>T55+U55+V55</f>
        <v>5</v>
      </c>
    </row>
    <row r="56" spans="1:23" ht="12.75">
      <c r="A56" s="95">
        <v>9</v>
      </c>
      <c r="B56" s="161"/>
      <c r="C56" s="190" t="s">
        <v>141</v>
      </c>
      <c r="D56" s="101">
        <f>+D57+D58+D59+D60+D61+D62+D63+D64</f>
        <v>6</v>
      </c>
      <c r="E56" s="101">
        <f>+E57+E58+E59+E60+E61+E62+E63+E64</f>
        <v>0</v>
      </c>
      <c r="F56" s="101">
        <f>+F57+F58+F59+F60+F61+F62+F63+F64</f>
        <v>0</v>
      </c>
      <c r="G56" s="101">
        <f aca="true" t="shared" si="36" ref="G56:W56">+G57+G58+G59+G60+G61+G62+G63+G64</f>
        <v>6</v>
      </c>
      <c r="H56" s="101">
        <f t="shared" si="36"/>
        <v>0</v>
      </c>
      <c r="I56" s="101">
        <f t="shared" si="36"/>
        <v>0</v>
      </c>
      <c r="J56" s="101">
        <f t="shared" si="36"/>
        <v>0</v>
      </c>
      <c r="K56" s="101">
        <f t="shared" si="36"/>
        <v>0</v>
      </c>
      <c r="L56" s="101">
        <f t="shared" si="36"/>
        <v>47</v>
      </c>
      <c r="M56" s="101">
        <f t="shared" si="36"/>
        <v>0</v>
      </c>
      <c r="N56" s="101">
        <f t="shared" si="36"/>
        <v>0</v>
      </c>
      <c r="O56" s="101">
        <f t="shared" si="36"/>
        <v>47</v>
      </c>
      <c r="P56" s="101">
        <f t="shared" si="36"/>
        <v>57</v>
      </c>
      <c r="Q56" s="101">
        <f t="shared" si="36"/>
        <v>6</v>
      </c>
      <c r="R56" s="101">
        <f t="shared" si="36"/>
        <v>5</v>
      </c>
      <c r="S56" s="101">
        <f t="shared" si="36"/>
        <v>68</v>
      </c>
      <c r="T56" s="101">
        <f t="shared" si="36"/>
        <v>110</v>
      </c>
      <c r="U56" s="101">
        <f t="shared" si="36"/>
        <v>6</v>
      </c>
      <c r="V56" s="101">
        <f t="shared" si="36"/>
        <v>5</v>
      </c>
      <c r="W56" s="101">
        <f t="shared" si="36"/>
        <v>121</v>
      </c>
    </row>
    <row r="57" spans="1:23" s="36" customFormat="1" ht="15">
      <c r="A57" s="60">
        <v>44</v>
      </c>
      <c r="B57" s="164">
        <v>60210400</v>
      </c>
      <c r="C57" s="164" t="s">
        <v>137</v>
      </c>
      <c r="D57" s="103">
        <v>6</v>
      </c>
      <c r="E57" s="103"/>
      <c r="F57" s="103"/>
      <c r="G57" s="111">
        <f aca="true" t="shared" si="37" ref="G57:G63">D57+E57+F57</f>
        <v>6</v>
      </c>
      <c r="H57" s="103"/>
      <c r="I57" s="103"/>
      <c r="J57" s="104"/>
      <c r="K57" s="112">
        <f aca="true" t="shared" si="38" ref="K57:K63">H57+I57+J57</f>
        <v>0</v>
      </c>
      <c r="L57" s="75"/>
      <c r="M57" s="110"/>
      <c r="N57" s="111"/>
      <c r="O57" s="112">
        <f aca="true" t="shared" si="39" ref="O57:O63">L57+M57+N57</f>
        <v>0</v>
      </c>
      <c r="P57" s="113"/>
      <c r="Q57" s="113"/>
      <c r="R57" s="112"/>
      <c r="S57" s="112">
        <f aca="true" t="shared" si="40" ref="S57:S63">P57+Q57+R57</f>
        <v>0</v>
      </c>
      <c r="T57" s="114">
        <f aca="true" t="shared" si="41" ref="T57:V58">D57+H57+L57+P57</f>
        <v>6</v>
      </c>
      <c r="U57" s="114">
        <f t="shared" si="41"/>
        <v>0</v>
      </c>
      <c r="V57" s="114">
        <f t="shared" si="41"/>
        <v>0</v>
      </c>
      <c r="W57" s="114">
        <f aca="true" t="shared" si="42" ref="W57:W63">T57+U57+V57</f>
        <v>6</v>
      </c>
    </row>
    <row r="58" spans="1:23" s="36" customFormat="1" ht="15">
      <c r="A58" s="60">
        <v>45</v>
      </c>
      <c r="B58" s="94">
        <v>5610535</v>
      </c>
      <c r="C58" s="69" t="s">
        <v>56</v>
      </c>
      <c r="D58" s="99"/>
      <c r="E58" s="99"/>
      <c r="F58" s="99"/>
      <c r="G58" s="64">
        <f t="shared" si="37"/>
        <v>0</v>
      </c>
      <c r="H58" s="99"/>
      <c r="I58" s="98"/>
      <c r="J58" s="98"/>
      <c r="K58" s="29">
        <f t="shared" si="38"/>
        <v>0</v>
      </c>
      <c r="L58" s="66">
        <f>16+5-4</f>
        <v>17</v>
      </c>
      <c r="M58" s="64"/>
      <c r="N58" s="64"/>
      <c r="O58" s="29">
        <f t="shared" si="39"/>
        <v>17</v>
      </c>
      <c r="P58" s="28"/>
      <c r="Q58" s="29"/>
      <c r="R58" s="29"/>
      <c r="S58" s="29">
        <f t="shared" si="40"/>
        <v>0</v>
      </c>
      <c r="T58" s="32">
        <f t="shared" si="41"/>
        <v>17</v>
      </c>
      <c r="U58" s="32">
        <f t="shared" si="41"/>
        <v>0</v>
      </c>
      <c r="V58" s="32">
        <f t="shared" si="41"/>
        <v>0</v>
      </c>
      <c r="W58" s="33">
        <f t="shared" si="42"/>
        <v>17</v>
      </c>
    </row>
    <row r="59" spans="1:23" s="36" customFormat="1" ht="15">
      <c r="A59" s="60">
        <v>46</v>
      </c>
      <c r="B59" s="94">
        <v>5310500</v>
      </c>
      <c r="C59" s="69" t="s">
        <v>118</v>
      </c>
      <c r="D59" s="99"/>
      <c r="E59" s="99"/>
      <c r="F59" s="99"/>
      <c r="G59" s="64">
        <f t="shared" si="37"/>
        <v>0</v>
      </c>
      <c r="H59" s="99"/>
      <c r="I59" s="98"/>
      <c r="J59" s="98"/>
      <c r="K59" s="29">
        <f t="shared" si="38"/>
        <v>0</v>
      </c>
      <c r="L59" s="66">
        <f>7+2</f>
        <v>9</v>
      </c>
      <c r="M59" s="77"/>
      <c r="N59" s="77"/>
      <c r="O59" s="29">
        <f t="shared" si="39"/>
        <v>9</v>
      </c>
      <c r="P59" s="28"/>
      <c r="Q59" s="29"/>
      <c r="R59" s="29"/>
      <c r="S59" s="29">
        <f t="shared" si="40"/>
        <v>0</v>
      </c>
      <c r="T59" s="32">
        <f aca="true" t="shared" si="43" ref="T59:V63">D59+H59+L59+P59</f>
        <v>9</v>
      </c>
      <c r="U59" s="32">
        <f t="shared" si="43"/>
        <v>0</v>
      </c>
      <c r="V59" s="32">
        <f t="shared" si="43"/>
        <v>0</v>
      </c>
      <c r="W59" s="33">
        <f t="shared" si="42"/>
        <v>9</v>
      </c>
    </row>
    <row r="60" spans="1:23" s="36" customFormat="1" ht="15">
      <c r="A60" s="60">
        <v>47</v>
      </c>
      <c r="B60" s="163">
        <v>60210500</v>
      </c>
      <c r="C60" s="78" t="s">
        <v>83</v>
      </c>
      <c r="D60" s="99"/>
      <c r="E60" s="99"/>
      <c r="F60" s="99"/>
      <c r="G60" s="63">
        <f t="shared" si="37"/>
        <v>0</v>
      </c>
      <c r="H60" s="99"/>
      <c r="I60" s="98"/>
      <c r="J60" s="98"/>
      <c r="K60" s="25">
        <f t="shared" si="38"/>
        <v>0</v>
      </c>
      <c r="L60" s="61">
        <f>5-1</f>
        <v>4</v>
      </c>
      <c r="M60" s="63"/>
      <c r="N60" s="63"/>
      <c r="O60" s="25">
        <f t="shared" si="39"/>
        <v>4</v>
      </c>
      <c r="P60" s="28">
        <f>1+4-1</f>
        <v>4</v>
      </c>
      <c r="Q60" s="29"/>
      <c r="R60" s="29"/>
      <c r="S60" s="25">
        <f t="shared" si="40"/>
        <v>4</v>
      </c>
      <c r="T60" s="32">
        <f t="shared" si="43"/>
        <v>8</v>
      </c>
      <c r="U60" s="32">
        <f t="shared" si="43"/>
        <v>0</v>
      </c>
      <c r="V60" s="32">
        <f t="shared" si="43"/>
        <v>0</v>
      </c>
      <c r="W60" s="33">
        <f t="shared" si="42"/>
        <v>8</v>
      </c>
    </row>
    <row r="61" spans="1:23" s="36" customFormat="1" ht="15">
      <c r="A61" s="60">
        <v>48</v>
      </c>
      <c r="B61" s="163">
        <v>60211400</v>
      </c>
      <c r="C61" s="78" t="s">
        <v>84</v>
      </c>
      <c r="D61" s="99"/>
      <c r="E61" s="99"/>
      <c r="F61" s="99"/>
      <c r="G61" s="63">
        <f t="shared" si="37"/>
        <v>0</v>
      </c>
      <c r="H61" s="99"/>
      <c r="I61" s="98"/>
      <c r="J61" s="98"/>
      <c r="K61" s="25">
        <f t="shared" si="38"/>
        <v>0</v>
      </c>
      <c r="L61" s="61">
        <f>5+2-1</f>
        <v>6</v>
      </c>
      <c r="M61" s="63"/>
      <c r="N61" s="63"/>
      <c r="O61" s="25">
        <f t="shared" si="39"/>
        <v>6</v>
      </c>
      <c r="P61" s="28">
        <v>6</v>
      </c>
      <c r="Q61" s="29"/>
      <c r="R61" s="29"/>
      <c r="S61" s="25">
        <f t="shared" si="40"/>
        <v>6</v>
      </c>
      <c r="T61" s="32">
        <f t="shared" si="43"/>
        <v>12</v>
      </c>
      <c r="U61" s="32">
        <f t="shared" si="43"/>
        <v>0</v>
      </c>
      <c r="V61" s="32">
        <f t="shared" si="43"/>
        <v>0</v>
      </c>
      <c r="W61" s="33">
        <f t="shared" si="42"/>
        <v>12</v>
      </c>
    </row>
    <row r="62" spans="1:23" s="36" customFormat="1" ht="15">
      <c r="A62" s="60">
        <v>49</v>
      </c>
      <c r="B62" s="163">
        <v>60211500</v>
      </c>
      <c r="C62" s="52" t="s">
        <v>86</v>
      </c>
      <c r="D62" s="99"/>
      <c r="E62" s="99"/>
      <c r="F62" s="99"/>
      <c r="G62" s="63">
        <f t="shared" si="37"/>
        <v>0</v>
      </c>
      <c r="H62" s="99"/>
      <c r="I62" s="98"/>
      <c r="J62" s="98"/>
      <c r="K62" s="25">
        <f t="shared" si="38"/>
        <v>0</v>
      </c>
      <c r="L62" s="61">
        <v>6</v>
      </c>
      <c r="M62" s="63"/>
      <c r="N62" s="63"/>
      <c r="O62" s="25">
        <f t="shared" si="39"/>
        <v>6</v>
      </c>
      <c r="P62" s="86">
        <v>6</v>
      </c>
      <c r="Q62" s="29"/>
      <c r="R62" s="29"/>
      <c r="S62" s="25">
        <f t="shared" si="40"/>
        <v>6</v>
      </c>
      <c r="T62" s="32">
        <f t="shared" si="43"/>
        <v>12</v>
      </c>
      <c r="U62" s="32">
        <f t="shared" si="43"/>
        <v>0</v>
      </c>
      <c r="V62" s="32">
        <f t="shared" si="43"/>
        <v>0</v>
      </c>
      <c r="W62" s="33">
        <f t="shared" si="42"/>
        <v>12</v>
      </c>
    </row>
    <row r="63" spans="1:23" s="36" customFormat="1" ht="15">
      <c r="A63" s="60">
        <v>50</v>
      </c>
      <c r="B63" s="163">
        <v>60210800</v>
      </c>
      <c r="C63" s="78" t="s">
        <v>85</v>
      </c>
      <c r="D63" s="99"/>
      <c r="E63" s="99"/>
      <c r="F63" s="99"/>
      <c r="G63" s="63">
        <f t="shared" si="37"/>
        <v>0</v>
      </c>
      <c r="H63" s="99"/>
      <c r="I63" s="98"/>
      <c r="J63" s="98"/>
      <c r="K63" s="25">
        <f t="shared" si="38"/>
        <v>0</v>
      </c>
      <c r="L63" s="61">
        <f>6-1</f>
        <v>5</v>
      </c>
      <c r="M63" s="63"/>
      <c r="N63" s="63"/>
      <c r="O63" s="25">
        <f t="shared" si="39"/>
        <v>5</v>
      </c>
      <c r="P63" s="86">
        <v>7</v>
      </c>
      <c r="Q63" s="29"/>
      <c r="R63" s="29"/>
      <c r="S63" s="25">
        <f t="shared" si="40"/>
        <v>7</v>
      </c>
      <c r="T63" s="32">
        <f t="shared" si="43"/>
        <v>12</v>
      </c>
      <c r="U63" s="32">
        <f t="shared" si="43"/>
        <v>0</v>
      </c>
      <c r="V63" s="32">
        <f t="shared" si="43"/>
        <v>0</v>
      </c>
      <c r="W63" s="33">
        <f t="shared" si="42"/>
        <v>12</v>
      </c>
    </row>
    <row r="64" spans="1:23" s="27" customFormat="1" ht="15">
      <c r="A64" s="60">
        <v>51</v>
      </c>
      <c r="B64" s="136">
        <v>60110500</v>
      </c>
      <c r="C64" s="93" t="s">
        <v>112</v>
      </c>
      <c r="D64" s="99"/>
      <c r="E64" s="96"/>
      <c r="F64" s="96"/>
      <c r="G64" s="63">
        <f>D64+E64+F64</f>
        <v>0</v>
      </c>
      <c r="H64" s="99"/>
      <c r="I64" s="96"/>
      <c r="J64" s="96"/>
      <c r="K64" s="25">
        <f>H64+I64+J64</f>
        <v>0</v>
      </c>
      <c r="L64" s="28"/>
      <c r="M64" s="28"/>
      <c r="N64" s="28"/>
      <c r="O64" s="25">
        <f>L64+M64+N64</f>
        <v>0</v>
      </c>
      <c r="P64" s="28">
        <f>3+32+1+1-1-1-1</f>
        <v>34</v>
      </c>
      <c r="Q64" s="28">
        <v>6</v>
      </c>
      <c r="R64" s="28">
        <v>5</v>
      </c>
      <c r="S64" s="25">
        <f>P64+Q64+R64</f>
        <v>45</v>
      </c>
      <c r="T64" s="13">
        <f>D64+H64+L64+P64</f>
        <v>34</v>
      </c>
      <c r="U64" s="13">
        <f>E64+I64+M64+Q64</f>
        <v>6</v>
      </c>
      <c r="V64" s="13">
        <f>F64+J64+N64+R64</f>
        <v>5</v>
      </c>
      <c r="W64" s="14">
        <f>T64+U64+V64</f>
        <v>45</v>
      </c>
    </row>
    <row r="65" spans="1:23" ht="12.75">
      <c r="A65" s="95">
        <v>10</v>
      </c>
      <c r="B65" s="161"/>
      <c r="C65" s="149" t="s">
        <v>38</v>
      </c>
      <c r="D65" s="101">
        <f>+D66+D67+D68</f>
        <v>33</v>
      </c>
      <c r="E65" s="101">
        <f>+E66+E67+E68</f>
        <v>5</v>
      </c>
      <c r="F65" s="101">
        <f>+F66+F67+F68</f>
        <v>0</v>
      </c>
      <c r="G65" s="101">
        <f aca="true" t="shared" si="44" ref="G65:W65">+G66+G67+G68</f>
        <v>38</v>
      </c>
      <c r="H65" s="101">
        <f t="shared" si="44"/>
        <v>46</v>
      </c>
      <c r="I65" s="101">
        <f t="shared" si="44"/>
        <v>0</v>
      </c>
      <c r="J65" s="101">
        <f t="shared" si="44"/>
        <v>0</v>
      </c>
      <c r="K65" s="101">
        <f t="shared" si="44"/>
        <v>46</v>
      </c>
      <c r="L65" s="101">
        <f t="shared" si="44"/>
        <v>37</v>
      </c>
      <c r="M65" s="101">
        <f t="shared" si="44"/>
        <v>5</v>
      </c>
      <c r="N65" s="101">
        <f t="shared" si="44"/>
        <v>0</v>
      </c>
      <c r="O65" s="101">
        <f t="shared" si="44"/>
        <v>42</v>
      </c>
      <c r="P65" s="101">
        <f t="shared" si="44"/>
        <v>47</v>
      </c>
      <c r="Q65" s="101">
        <f t="shared" si="44"/>
        <v>4</v>
      </c>
      <c r="R65" s="101">
        <f t="shared" si="44"/>
        <v>5</v>
      </c>
      <c r="S65" s="101">
        <f t="shared" si="44"/>
        <v>56</v>
      </c>
      <c r="T65" s="101">
        <f t="shared" si="44"/>
        <v>163</v>
      </c>
      <c r="U65" s="101">
        <f t="shared" si="44"/>
        <v>14</v>
      </c>
      <c r="V65" s="101">
        <f t="shared" si="44"/>
        <v>5</v>
      </c>
      <c r="W65" s="101">
        <f t="shared" si="44"/>
        <v>182</v>
      </c>
    </row>
    <row r="66" spans="1:23" s="36" customFormat="1" ht="15">
      <c r="A66" s="60">
        <v>52</v>
      </c>
      <c r="B66" s="136">
        <v>60220300</v>
      </c>
      <c r="C66" s="52" t="s">
        <v>17</v>
      </c>
      <c r="D66" s="96">
        <f>1+22</f>
        <v>23</v>
      </c>
      <c r="E66" s="96">
        <v>5</v>
      </c>
      <c r="F66" s="96"/>
      <c r="G66" s="63">
        <f>D66+E66+F66</f>
        <v>28</v>
      </c>
      <c r="H66" s="96">
        <f>35+1+2-1-1</f>
        <v>36</v>
      </c>
      <c r="I66" s="96"/>
      <c r="J66" s="96"/>
      <c r="K66" s="25">
        <f>H66+I66+J66</f>
        <v>36</v>
      </c>
      <c r="L66" s="61">
        <f>19+2+2+2+3+3-1-1</f>
        <v>29</v>
      </c>
      <c r="M66" s="62">
        <v>5</v>
      </c>
      <c r="N66" s="62"/>
      <c r="O66" s="25">
        <f>L66+M66+N66</f>
        <v>34</v>
      </c>
      <c r="P66" s="28">
        <f>5+15+1+1-1-1+1</f>
        <v>21</v>
      </c>
      <c r="Q66" s="28">
        <v>4</v>
      </c>
      <c r="R66" s="28"/>
      <c r="S66" s="25">
        <f>P66+Q66+R66</f>
        <v>25</v>
      </c>
      <c r="T66" s="32">
        <f aca="true" t="shared" si="45" ref="T66:V67">D66+H66+L66+P66</f>
        <v>109</v>
      </c>
      <c r="U66" s="32">
        <f t="shared" si="45"/>
        <v>14</v>
      </c>
      <c r="V66" s="32">
        <f t="shared" si="45"/>
        <v>0</v>
      </c>
      <c r="W66" s="33">
        <f>T66+U66+V66</f>
        <v>123</v>
      </c>
    </row>
    <row r="67" spans="1:23" s="36" customFormat="1" ht="15">
      <c r="A67" s="60">
        <v>53</v>
      </c>
      <c r="B67" s="136">
        <v>60220400</v>
      </c>
      <c r="C67" s="69" t="s">
        <v>24</v>
      </c>
      <c r="D67" s="96">
        <v>10</v>
      </c>
      <c r="E67" s="96"/>
      <c r="F67" s="96"/>
      <c r="G67" s="63">
        <f>D67+E67+F67</f>
        <v>10</v>
      </c>
      <c r="H67" s="96">
        <v>10</v>
      </c>
      <c r="I67" s="96"/>
      <c r="J67" s="96"/>
      <c r="K67" s="25">
        <f>H67+I67+J67</f>
        <v>10</v>
      </c>
      <c r="L67" s="61">
        <f>10-2</f>
        <v>8</v>
      </c>
      <c r="M67" s="62"/>
      <c r="N67" s="62"/>
      <c r="O67" s="25">
        <f>L67+M67+N67</f>
        <v>8</v>
      </c>
      <c r="P67" s="28">
        <f>8</f>
        <v>8</v>
      </c>
      <c r="Q67" s="28"/>
      <c r="R67" s="28"/>
      <c r="S67" s="25">
        <f>P67+Q67+R67</f>
        <v>8</v>
      </c>
      <c r="T67" s="32">
        <f t="shared" si="45"/>
        <v>36</v>
      </c>
      <c r="U67" s="32">
        <f t="shared" si="45"/>
        <v>0</v>
      </c>
      <c r="V67" s="32">
        <f t="shared" si="45"/>
        <v>0</v>
      </c>
      <c r="W67" s="33">
        <f>T67+U67+V67</f>
        <v>36</v>
      </c>
    </row>
    <row r="68" spans="1:23" s="36" customFormat="1" ht="15">
      <c r="A68" s="60">
        <v>54</v>
      </c>
      <c r="B68" s="136">
        <v>60111100</v>
      </c>
      <c r="C68" s="93" t="s">
        <v>17</v>
      </c>
      <c r="D68" s="99"/>
      <c r="E68" s="99"/>
      <c r="F68" s="99"/>
      <c r="G68" s="63">
        <f>D68+E68+F68</f>
        <v>0</v>
      </c>
      <c r="H68" s="99"/>
      <c r="I68" s="99"/>
      <c r="J68" s="99"/>
      <c r="K68" s="25">
        <f>H68+I68+J68</f>
        <v>0</v>
      </c>
      <c r="L68" s="66"/>
      <c r="M68" s="67"/>
      <c r="N68" s="67"/>
      <c r="O68" s="25">
        <f>L68+M68+N68</f>
        <v>0</v>
      </c>
      <c r="P68" s="28">
        <f>2+11+4+1</f>
        <v>18</v>
      </c>
      <c r="Q68" s="28"/>
      <c r="R68" s="28">
        <v>5</v>
      </c>
      <c r="S68" s="25">
        <f>P68+Q68+R68</f>
        <v>23</v>
      </c>
      <c r="T68" s="32">
        <f>D68+H68+L68+P68</f>
        <v>18</v>
      </c>
      <c r="U68" s="32">
        <f>E68+I68+M68+Q68</f>
        <v>0</v>
      </c>
      <c r="V68" s="32">
        <f>F68+J68+N68+R68</f>
        <v>5</v>
      </c>
      <c r="W68" s="33">
        <f>T68+U68+V68</f>
        <v>23</v>
      </c>
    </row>
    <row r="69" spans="1:23" s="36" customFormat="1" ht="12.75">
      <c r="A69" s="95">
        <v>11</v>
      </c>
      <c r="B69" s="161"/>
      <c r="C69" s="160" t="s">
        <v>117</v>
      </c>
      <c r="D69" s="101">
        <f>+D70</f>
        <v>0</v>
      </c>
      <c r="E69" s="101">
        <f>+E70</f>
        <v>0</v>
      </c>
      <c r="F69" s="101">
        <f>+F70</f>
        <v>0</v>
      </c>
      <c r="G69" s="101">
        <f aca="true" t="shared" si="46" ref="G69:W69">+G70</f>
        <v>0</v>
      </c>
      <c r="H69" s="101">
        <f t="shared" si="46"/>
        <v>70</v>
      </c>
      <c r="I69" s="101">
        <f t="shared" si="46"/>
        <v>0</v>
      </c>
      <c r="J69" s="101">
        <f t="shared" si="46"/>
        <v>0</v>
      </c>
      <c r="K69" s="101">
        <f t="shared" si="46"/>
        <v>70</v>
      </c>
      <c r="L69" s="101">
        <f t="shared" si="46"/>
        <v>52</v>
      </c>
      <c r="M69" s="101">
        <f t="shared" si="46"/>
        <v>0</v>
      </c>
      <c r="N69" s="101">
        <f t="shared" si="46"/>
        <v>0</v>
      </c>
      <c r="O69" s="101">
        <f t="shared" si="46"/>
        <v>52</v>
      </c>
      <c r="P69" s="101">
        <f t="shared" si="46"/>
        <v>43</v>
      </c>
      <c r="Q69" s="101">
        <f t="shared" si="46"/>
        <v>12</v>
      </c>
      <c r="R69" s="101">
        <f t="shared" si="46"/>
        <v>0</v>
      </c>
      <c r="S69" s="101">
        <f t="shared" si="46"/>
        <v>55</v>
      </c>
      <c r="T69" s="101">
        <f t="shared" si="46"/>
        <v>165</v>
      </c>
      <c r="U69" s="101">
        <f t="shared" si="46"/>
        <v>12</v>
      </c>
      <c r="V69" s="101">
        <f t="shared" si="46"/>
        <v>0</v>
      </c>
      <c r="W69" s="101">
        <f t="shared" si="46"/>
        <v>177</v>
      </c>
    </row>
    <row r="70" spans="1:23" s="36" customFormat="1" ht="15">
      <c r="A70" s="60">
        <v>55</v>
      </c>
      <c r="B70" s="136">
        <v>60420100</v>
      </c>
      <c r="C70" s="78" t="s">
        <v>106</v>
      </c>
      <c r="D70" s="96"/>
      <c r="E70" s="96"/>
      <c r="F70" s="96"/>
      <c r="G70" s="63">
        <f>D70+E70+F70</f>
        <v>0</v>
      </c>
      <c r="H70" s="96">
        <f>69-1+3-1</f>
        <v>70</v>
      </c>
      <c r="I70" s="96"/>
      <c r="J70" s="96"/>
      <c r="K70" s="25">
        <f>H70+I70+J70</f>
        <v>70</v>
      </c>
      <c r="L70" s="61">
        <f>58-1-1-1-1-2</f>
        <v>52</v>
      </c>
      <c r="M70" s="62"/>
      <c r="N70" s="62"/>
      <c r="O70" s="25">
        <f>L70+M70+N70</f>
        <v>52</v>
      </c>
      <c r="P70" s="28">
        <f>7+38+1-1-1-1</f>
        <v>43</v>
      </c>
      <c r="Q70" s="28">
        <f>2+10</f>
        <v>12</v>
      </c>
      <c r="R70" s="28"/>
      <c r="S70" s="25">
        <f>P70+Q70+R70</f>
        <v>55</v>
      </c>
      <c r="T70" s="32">
        <f>D70+H70+L70+P70</f>
        <v>165</v>
      </c>
      <c r="U70" s="32">
        <f>E70+I70+M70+Q70</f>
        <v>12</v>
      </c>
      <c r="V70" s="32">
        <f>F70+J70+N70+R70</f>
        <v>0</v>
      </c>
      <c r="W70" s="33">
        <f>T70+U70+V70</f>
        <v>177</v>
      </c>
    </row>
    <row r="71" spans="1:23" s="36" customFormat="1" ht="22.5">
      <c r="A71" s="95">
        <v>12</v>
      </c>
      <c r="B71" s="161"/>
      <c r="C71" s="160" t="s">
        <v>134</v>
      </c>
      <c r="D71" s="101">
        <f>+D72+D73+D74+D75+D76+D77+D78+D79</f>
        <v>98</v>
      </c>
      <c r="E71" s="101">
        <f>+E72+E73+E74+E75+E76+E77+E78+E79</f>
        <v>0</v>
      </c>
      <c r="F71" s="101">
        <f>+F72+F73+F74+F75+F76+F77+F78+F79</f>
        <v>0</v>
      </c>
      <c r="G71" s="101">
        <f aca="true" t="shared" si="47" ref="G71:W71">+G72+G73+G74+G75+G76+G77+G78+G79</f>
        <v>98</v>
      </c>
      <c r="H71" s="101">
        <f t="shared" si="47"/>
        <v>47</v>
      </c>
      <c r="I71" s="101">
        <f t="shared" si="47"/>
        <v>0</v>
      </c>
      <c r="J71" s="101">
        <f t="shared" si="47"/>
        <v>0</v>
      </c>
      <c r="K71" s="101">
        <f t="shared" si="47"/>
        <v>47</v>
      </c>
      <c r="L71" s="101">
        <f t="shared" si="47"/>
        <v>40</v>
      </c>
      <c r="M71" s="101">
        <f t="shared" si="47"/>
        <v>0</v>
      </c>
      <c r="N71" s="101">
        <f t="shared" si="47"/>
        <v>0</v>
      </c>
      <c r="O71" s="101">
        <f t="shared" si="47"/>
        <v>40</v>
      </c>
      <c r="P71" s="101">
        <f t="shared" si="47"/>
        <v>35</v>
      </c>
      <c r="Q71" s="101">
        <f t="shared" si="47"/>
        <v>0</v>
      </c>
      <c r="R71" s="101">
        <f t="shared" si="47"/>
        <v>0</v>
      </c>
      <c r="S71" s="101">
        <f t="shared" si="47"/>
        <v>35</v>
      </c>
      <c r="T71" s="101">
        <f t="shared" si="47"/>
        <v>220</v>
      </c>
      <c r="U71" s="101">
        <f t="shared" si="47"/>
        <v>0</v>
      </c>
      <c r="V71" s="101">
        <f t="shared" si="47"/>
        <v>0</v>
      </c>
      <c r="W71" s="101">
        <f t="shared" si="47"/>
        <v>220</v>
      </c>
    </row>
    <row r="72" spans="1:23" ht="15">
      <c r="A72" s="60">
        <v>56</v>
      </c>
      <c r="B72" s="136">
        <v>60812100</v>
      </c>
      <c r="C72" s="52" t="s">
        <v>68</v>
      </c>
      <c r="D72" s="96"/>
      <c r="E72" s="96"/>
      <c r="F72" s="96"/>
      <c r="G72" s="63">
        <f aca="true" t="shared" si="48" ref="G72:G79">D72+E72+F72</f>
        <v>0</v>
      </c>
      <c r="H72" s="96">
        <f>5-1+3-1-1</f>
        <v>5</v>
      </c>
      <c r="I72" s="96"/>
      <c r="J72" s="97"/>
      <c r="K72" s="29">
        <f aca="true" t="shared" si="49" ref="K72:K79">H72+I72+J72</f>
        <v>5</v>
      </c>
      <c r="L72" s="61"/>
      <c r="M72" s="62"/>
      <c r="N72" s="63"/>
      <c r="O72" s="29">
        <f aca="true" t="shared" si="50" ref="O72:O79">L72+M72+N72</f>
        <v>0</v>
      </c>
      <c r="P72" s="28"/>
      <c r="Q72" s="28"/>
      <c r="R72" s="29"/>
      <c r="S72" s="29">
        <f aca="true" t="shared" si="51" ref="S72:S78">P72+Q72+R72</f>
        <v>0</v>
      </c>
      <c r="T72" s="32">
        <f aca="true" t="shared" si="52" ref="T72:V74">D72+H72+L72+P72</f>
        <v>5</v>
      </c>
      <c r="U72" s="32">
        <f t="shared" si="52"/>
        <v>0</v>
      </c>
      <c r="V72" s="32">
        <f t="shared" si="52"/>
        <v>0</v>
      </c>
      <c r="W72" s="33">
        <f aca="true" t="shared" si="53" ref="W72:W78">T72+U72+V72</f>
        <v>5</v>
      </c>
    </row>
    <row r="73" spans="1:23" s="36" customFormat="1" ht="23.25">
      <c r="A73" s="60">
        <v>57</v>
      </c>
      <c r="B73" s="165">
        <v>60820100</v>
      </c>
      <c r="C73" s="164" t="s">
        <v>139</v>
      </c>
      <c r="D73" s="96">
        <v>5</v>
      </c>
      <c r="E73" s="96"/>
      <c r="F73" s="96"/>
      <c r="G73" s="63">
        <f t="shared" si="48"/>
        <v>5</v>
      </c>
      <c r="H73" s="96"/>
      <c r="I73" s="96"/>
      <c r="J73" s="97"/>
      <c r="K73" s="29">
        <f t="shared" si="49"/>
        <v>0</v>
      </c>
      <c r="L73" s="61"/>
      <c r="M73" s="62"/>
      <c r="N73" s="63"/>
      <c r="O73" s="29">
        <f t="shared" si="50"/>
        <v>0</v>
      </c>
      <c r="P73" s="28"/>
      <c r="Q73" s="28"/>
      <c r="R73" s="29"/>
      <c r="S73" s="29">
        <f t="shared" si="51"/>
        <v>0</v>
      </c>
      <c r="T73" s="32">
        <f t="shared" si="52"/>
        <v>5</v>
      </c>
      <c r="U73" s="32">
        <f t="shared" si="52"/>
        <v>0</v>
      </c>
      <c r="V73" s="32">
        <f t="shared" si="52"/>
        <v>0</v>
      </c>
      <c r="W73" s="33">
        <f t="shared" si="53"/>
        <v>5</v>
      </c>
    </row>
    <row r="74" spans="1:23" s="36" customFormat="1" ht="15">
      <c r="A74" s="60">
        <v>58</v>
      </c>
      <c r="B74" s="136">
        <v>60810700</v>
      </c>
      <c r="C74" s="78" t="s">
        <v>80</v>
      </c>
      <c r="D74" s="96">
        <f>50-1-8</f>
        <v>41</v>
      </c>
      <c r="E74" s="96"/>
      <c r="F74" s="96"/>
      <c r="G74" s="63">
        <f t="shared" si="48"/>
        <v>41</v>
      </c>
      <c r="H74" s="96">
        <f>15-3+1-3</f>
        <v>10</v>
      </c>
      <c r="I74" s="96"/>
      <c r="J74" s="97"/>
      <c r="K74" s="29">
        <f t="shared" si="49"/>
        <v>10</v>
      </c>
      <c r="L74" s="61">
        <f>17-4</f>
        <v>13</v>
      </c>
      <c r="M74" s="62"/>
      <c r="N74" s="63"/>
      <c r="O74" s="29">
        <f t="shared" si="50"/>
        <v>13</v>
      </c>
      <c r="P74" s="28">
        <f>11-1-2-1-1-1</f>
        <v>5</v>
      </c>
      <c r="Q74" s="28"/>
      <c r="R74" s="29"/>
      <c r="S74" s="29">
        <f t="shared" si="51"/>
        <v>5</v>
      </c>
      <c r="T74" s="32">
        <f t="shared" si="52"/>
        <v>69</v>
      </c>
      <c r="U74" s="32">
        <f t="shared" si="52"/>
        <v>0</v>
      </c>
      <c r="V74" s="32">
        <f t="shared" si="52"/>
        <v>0</v>
      </c>
      <c r="W74" s="33">
        <f t="shared" si="53"/>
        <v>69</v>
      </c>
    </row>
    <row r="75" spans="1:23" s="36" customFormat="1" ht="15">
      <c r="A75" s="60">
        <v>59</v>
      </c>
      <c r="B75" s="136">
        <v>60811000</v>
      </c>
      <c r="C75" s="93" t="s">
        <v>107</v>
      </c>
      <c r="D75" s="96">
        <f>20-2</f>
        <v>18</v>
      </c>
      <c r="E75" s="96"/>
      <c r="F75" s="96"/>
      <c r="G75" s="63">
        <f t="shared" si="48"/>
        <v>18</v>
      </c>
      <c r="H75" s="96">
        <f>9-1-1-1</f>
        <v>6</v>
      </c>
      <c r="I75" s="96"/>
      <c r="J75" s="97"/>
      <c r="K75" s="29">
        <f t="shared" si="49"/>
        <v>6</v>
      </c>
      <c r="L75" s="61">
        <f>15-1-3-2-1</f>
        <v>8</v>
      </c>
      <c r="M75" s="62"/>
      <c r="N75" s="63"/>
      <c r="O75" s="29">
        <f t="shared" si="50"/>
        <v>8</v>
      </c>
      <c r="P75" s="28">
        <f>10-1-1</f>
        <v>8</v>
      </c>
      <c r="Q75" s="28"/>
      <c r="R75" s="29"/>
      <c r="S75" s="29">
        <f t="shared" si="51"/>
        <v>8</v>
      </c>
      <c r="T75" s="32">
        <f aca="true" t="shared" si="54" ref="T75:V78">D75+H75+L75+P75</f>
        <v>40</v>
      </c>
      <c r="U75" s="32">
        <f t="shared" si="54"/>
        <v>0</v>
      </c>
      <c r="V75" s="32">
        <f t="shared" si="54"/>
        <v>0</v>
      </c>
      <c r="W75" s="33">
        <f t="shared" si="53"/>
        <v>40</v>
      </c>
    </row>
    <row r="76" spans="1:23" s="36" customFormat="1" ht="15">
      <c r="A76" s="60">
        <v>60</v>
      </c>
      <c r="B76" s="136">
        <v>60811800</v>
      </c>
      <c r="C76" s="93" t="s">
        <v>108</v>
      </c>
      <c r="D76" s="96">
        <f>15-1</f>
        <v>14</v>
      </c>
      <c r="E76" s="96"/>
      <c r="F76" s="96"/>
      <c r="G76" s="63">
        <f t="shared" si="48"/>
        <v>14</v>
      </c>
      <c r="H76" s="96">
        <f>10-1</f>
        <v>9</v>
      </c>
      <c r="I76" s="96"/>
      <c r="J76" s="97"/>
      <c r="K76" s="29">
        <f t="shared" si="49"/>
        <v>9</v>
      </c>
      <c r="L76" s="61">
        <f>10-1-1-2-1-1</f>
        <v>4</v>
      </c>
      <c r="M76" s="62"/>
      <c r="N76" s="63"/>
      <c r="O76" s="29">
        <f t="shared" si="50"/>
        <v>4</v>
      </c>
      <c r="P76" s="28">
        <v>10</v>
      </c>
      <c r="Q76" s="28"/>
      <c r="R76" s="29"/>
      <c r="S76" s="29">
        <f t="shared" si="51"/>
        <v>10</v>
      </c>
      <c r="T76" s="32">
        <f t="shared" si="54"/>
        <v>37</v>
      </c>
      <c r="U76" s="32">
        <f t="shared" si="54"/>
        <v>0</v>
      </c>
      <c r="V76" s="32">
        <f t="shared" si="54"/>
        <v>0</v>
      </c>
      <c r="W76" s="33">
        <f t="shared" si="53"/>
        <v>37</v>
      </c>
    </row>
    <row r="77" spans="1:23" s="36" customFormat="1" ht="15">
      <c r="A77" s="60">
        <v>61</v>
      </c>
      <c r="B77" s="136">
        <v>60811900</v>
      </c>
      <c r="C77" s="93" t="s">
        <v>109</v>
      </c>
      <c r="D77" s="96"/>
      <c r="E77" s="96"/>
      <c r="F77" s="96"/>
      <c r="G77" s="63">
        <f t="shared" si="48"/>
        <v>0</v>
      </c>
      <c r="H77" s="96">
        <f>10-1-1-1</f>
        <v>7</v>
      </c>
      <c r="I77" s="96"/>
      <c r="J77" s="97"/>
      <c r="K77" s="29">
        <f t="shared" si="49"/>
        <v>7</v>
      </c>
      <c r="L77" s="61">
        <f>10-1-1-1-1</f>
        <v>6</v>
      </c>
      <c r="M77" s="62"/>
      <c r="N77" s="63"/>
      <c r="O77" s="29">
        <f t="shared" si="50"/>
        <v>6</v>
      </c>
      <c r="P77" s="28">
        <f>10-1-1-1</f>
        <v>7</v>
      </c>
      <c r="Q77" s="28"/>
      <c r="R77" s="29"/>
      <c r="S77" s="29">
        <f t="shared" si="51"/>
        <v>7</v>
      </c>
      <c r="T77" s="32">
        <f t="shared" si="54"/>
        <v>20</v>
      </c>
      <c r="U77" s="32">
        <f t="shared" si="54"/>
        <v>0</v>
      </c>
      <c r="V77" s="32">
        <f t="shared" si="54"/>
        <v>0</v>
      </c>
      <c r="W77" s="33">
        <f t="shared" si="53"/>
        <v>20</v>
      </c>
    </row>
    <row r="78" spans="1:23" s="36" customFormat="1" ht="15">
      <c r="A78" s="60">
        <v>62</v>
      </c>
      <c r="B78" s="136">
        <v>60812000</v>
      </c>
      <c r="C78" s="93" t="s">
        <v>110</v>
      </c>
      <c r="D78" s="96"/>
      <c r="E78" s="96"/>
      <c r="F78" s="96"/>
      <c r="G78" s="63">
        <f t="shared" si="48"/>
        <v>0</v>
      </c>
      <c r="H78" s="96">
        <f>10-1-1-1-1</f>
        <v>6</v>
      </c>
      <c r="I78" s="96"/>
      <c r="J78" s="97"/>
      <c r="K78" s="29">
        <f t="shared" si="49"/>
        <v>6</v>
      </c>
      <c r="L78" s="61">
        <f>10-1</f>
        <v>9</v>
      </c>
      <c r="M78" s="62"/>
      <c r="N78" s="63"/>
      <c r="O78" s="29">
        <f t="shared" si="50"/>
        <v>9</v>
      </c>
      <c r="P78" s="28">
        <f>10-2-1-1-1</f>
        <v>5</v>
      </c>
      <c r="Q78" s="28"/>
      <c r="R78" s="29"/>
      <c r="S78" s="29">
        <f t="shared" si="51"/>
        <v>5</v>
      </c>
      <c r="T78" s="32">
        <f t="shared" si="54"/>
        <v>20</v>
      </c>
      <c r="U78" s="32">
        <f t="shared" si="54"/>
        <v>0</v>
      </c>
      <c r="V78" s="32">
        <f t="shared" si="54"/>
        <v>0</v>
      </c>
      <c r="W78" s="33">
        <f t="shared" si="53"/>
        <v>20</v>
      </c>
    </row>
    <row r="79" spans="1:23" s="36" customFormat="1" ht="22.5">
      <c r="A79" s="60">
        <v>63</v>
      </c>
      <c r="B79" s="94">
        <v>60811200</v>
      </c>
      <c r="C79" s="93" t="s">
        <v>129</v>
      </c>
      <c r="D79" s="96">
        <v>20</v>
      </c>
      <c r="E79" s="96"/>
      <c r="F79" s="96"/>
      <c r="G79" s="63">
        <f t="shared" si="48"/>
        <v>20</v>
      </c>
      <c r="H79" s="96">
        <f>5-1-1+1</f>
        <v>4</v>
      </c>
      <c r="I79" s="96"/>
      <c r="J79" s="97"/>
      <c r="K79" s="29">
        <f t="shared" si="49"/>
        <v>4</v>
      </c>
      <c r="L79" s="61"/>
      <c r="M79" s="62"/>
      <c r="N79" s="63"/>
      <c r="O79" s="29">
        <f t="shared" si="50"/>
        <v>0</v>
      </c>
      <c r="P79" s="28"/>
      <c r="Q79" s="28"/>
      <c r="R79" s="29"/>
      <c r="S79" s="29">
        <f>P79+Q79+R79</f>
        <v>0</v>
      </c>
      <c r="T79" s="32">
        <f>D79+H79+L79+P79</f>
        <v>24</v>
      </c>
      <c r="U79" s="32">
        <f>E79+I79+M79+Q79</f>
        <v>0</v>
      </c>
      <c r="V79" s="32">
        <f>F79+J79+N79+R79</f>
        <v>0</v>
      </c>
      <c r="W79" s="33">
        <f>T79+U79+V79</f>
        <v>24</v>
      </c>
    </row>
    <row r="80" spans="1:23" ht="13.5" customHeight="1">
      <c r="A80" s="115"/>
      <c r="B80" s="149"/>
      <c r="C80" s="149" t="s">
        <v>18</v>
      </c>
      <c r="D80" s="101">
        <f>+D71+D69+D65+D56+D50+D44+D38+D30+D22+D14+D10+D5</f>
        <v>671</v>
      </c>
      <c r="E80" s="101">
        <f aca="true" t="shared" si="55" ref="E80:W80">+E71+E69+E65+E56+E50+E44+E38+E30+E22+E14+E10+E5</f>
        <v>37</v>
      </c>
      <c r="F80" s="101">
        <f t="shared" si="55"/>
        <v>5</v>
      </c>
      <c r="G80" s="101">
        <f t="shared" si="55"/>
        <v>713</v>
      </c>
      <c r="H80" s="101">
        <f t="shared" si="55"/>
        <v>572</v>
      </c>
      <c r="I80" s="101">
        <f t="shared" si="55"/>
        <v>45</v>
      </c>
      <c r="J80" s="101">
        <f t="shared" si="55"/>
        <v>8</v>
      </c>
      <c r="K80" s="101">
        <f t="shared" si="55"/>
        <v>625</v>
      </c>
      <c r="L80" s="101">
        <f t="shared" si="55"/>
        <v>508</v>
      </c>
      <c r="M80" s="101">
        <f t="shared" si="55"/>
        <v>78</v>
      </c>
      <c r="N80" s="101">
        <f t="shared" si="55"/>
        <v>11</v>
      </c>
      <c r="O80" s="101">
        <f t="shared" si="55"/>
        <v>597</v>
      </c>
      <c r="P80" s="101">
        <f t="shared" si="55"/>
        <v>560</v>
      </c>
      <c r="Q80" s="101">
        <f t="shared" si="55"/>
        <v>129</v>
      </c>
      <c r="R80" s="101">
        <f t="shared" si="55"/>
        <v>38</v>
      </c>
      <c r="S80" s="101">
        <f t="shared" si="55"/>
        <v>727</v>
      </c>
      <c r="T80" s="101">
        <f t="shared" si="55"/>
        <v>2311</v>
      </c>
      <c r="U80" s="101">
        <f t="shared" si="55"/>
        <v>289</v>
      </c>
      <c r="V80" s="101">
        <f t="shared" si="55"/>
        <v>62</v>
      </c>
      <c r="W80" s="101">
        <f t="shared" si="55"/>
        <v>2662</v>
      </c>
    </row>
    <row r="81" spans="1:23" ht="13.5" customHeight="1">
      <c r="A81" s="117"/>
      <c r="B81" s="118"/>
      <c r="C81" s="119"/>
      <c r="D81" s="120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</row>
    <row r="82" spans="1:23" s="57" customFormat="1" ht="13.5" customHeight="1">
      <c r="A82" s="53"/>
      <c r="B82" s="54"/>
      <c r="C82" s="55"/>
      <c r="D82" s="54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</row>
    <row r="83" spans="2:4" ht="13.5">
      <c r="B83" s="90">
        <v>1</v>
      </c>
      <c r="C83" s="87" t="s">
        <v>72</v>
      </c>
      <c r="D83" s="92">
        <f>+W23+W24+W26+W27+W66+W67+W55</f>
        <v>521</v>
      </c>
    </row>
    <row r="84" spans="2:4" ht="27">
      <c r="B84" s="91">
        <v>2</v>
      </c>
      <c r="C84" s="88" t="s">
        <v>94</v>
      </c>
      <c r="D84" s="92">
        <f>+W7+W16+W17+W33+W37+W42+W58+W59+W68+W28+W29+W64</f>
        <v>324</v>
      </c>
    </row>
    <row r="85" spans="2:4" ht="13.5">
      <c r="B85" s="91">
        <v>3</v>
      </c>
      <c r="C85" s="87" t="s">
        <v>121</v>
      </c>
      <c r="D85" s="92">
        <f>+W51+W53+W54</f>
        <v>181</v>
      </c>
    </row>
    <row r="86" spans="2:4" ht="13.5">
      <c r="B86" s="90">
        <v>4</v>
      </c>
      <c r="C86" s="87" t="s">
        <v>74</v>
      </c>
      <c r="D86" s="92">
        <f>+W52</f>
        <v>33</v>
      </c>
    </row>
    <row r="87" spans="2:4" ht="13.5">
      <c r="B87" s="91">
        <v>5</v>
      </c>
      <c r="C87" s="87" t="s">
        <v>88</v>
      </c>
      <c r="D87" s="92">
        <f>+W44</f>
        <v>74</v>
      </c>
    </row>
    <row r="88" spans="2:4" ht="13.5">
      <c r="B88" s="91">
        <v>6</v>
      </c>
      <c r="C88" s="87" t="s">
        <v>73</v>
      </c>
      <c r="D88" s="92">
        <f>+W31+W32</f>
        <v>167</v>
      </c>
    </row>
    <row r="89" spans="2:4" ht="13.5">
      <c r="B89" s="90">
        <v>7</v>
      </c>
      <c r="C89" s="87" t="s">
        <v>89</v>
      </c>
      <c r="D89" s="92">
        <f>+W15+W18+W34+W40+W43+W41+W35</f>
        <v>363</v>
      </c>
    </row>
    <row r="90" spans="2:4" ht="13.5">
      <c r="B90" s="91">
        <v>8</v>
      </c>
      <c r="C90" s="87" t="s">
        <v>90</v>
      </c>
      <c r="D90" s="92">
        <f>+W57+W60+W61+W62+W63</f>
        <v>50</v>
      </c>
    </row>
    <row r="91" spans="2:4" ht="13.5">
      <c r="B91" s="91">
        <v>9</v>
      </c>
      <c r="C91" s="87" t="s">
        <v>91</v>
      </c>
      <c r="D91" s="92">
        <f>+W6+W9+W8</f>
        <v>336</v>
      </c>
    </row>
    <row r="92" spans="2:4" ht="13.5">
      <c r="B92" s="90">
        <v>10</v>
      </c>
      <c r="C92" s="89" t="s">
        <v>92</v>
      </c>
      <c r="D92" s="92">
        <f>+W36+W21+W20+W19+W13+W11+W12</f>
        <v>167</v>
      </c>
    </row>
    <row r="93" spans="2:4" ht="13.5">
      <c r="B93" s="91">
        <v>11</v>
      </c>
      <c r="C93" s="89" t="s">
        <v>93</v>
      </c>
      <c r="D93" s="92">
        <f>+W39</f>
        <v>37</v>
      </c>
    </row>
    <row r="94" spans="2:4" ht="13.5">
      <c r="B94" s="90">
        <v>12</v>
      </c>
      <c r="C94" s="89" t="s">
        <v>113</v>
      </c>
      <c r="D94" s="92">
        <f>+W69</f>
        <v>177</v>
      </c>
    </row>
    <row r="95" spans="2:4" ht="13.5">
      <c r="B95" s="90">
        <v>13</v>
      </c>
      <c r="C95" s="89" t="s">
        <v>114</v>
      </c>
      <c r="D95" s="92">
        <f>+W25</f>
        <v>12</v>
      </c>
    </row>
    <row r="96" spans="2:4" ht="13.5">
      <c r="B96" s="90">
        <v>14</v>
      </c>
      <c r="C96" s="88" t="s">
        <v>115</v>
      </c>
      <c r="D96" s="92">
        <f>+W71</f>
        <v>220</v>
      </c>
    </row>
  </sheetData>
  <sheetProtection/>
  <mergeCells count="10">
    <mergeCell ref="A2:X2"/>
    <mergeCell ref="A1:W1"/>
    <mergeCell ref="D3:G3"/>
    <mergeCell ref="H3:K3"/>
    <mergeCell ref="L3:O3"/>
    <mergeCell ref="P3:S3"/>
    <mergeCell ref="T3:V3"/>
    <mergeCell ref="A3:A4"/>
    <mergeCell ref="C3:C4"/>
    <mergeCell ref="B3:B4"/>
  </mergeCells>
  <printOptions horizontalCentered="1"/>
  <pageMargins left="0.5118110236220472" right="0.4330708661417323" top="0.35433070866141736" bottom="0.2755905511811024" header="0.5118110236220472" footer="0.5118110236220472"/>
  <pageSetup horizontalDpi="600" verticalDpi="600" orientation="landscape" paperSize="9" scale="58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96"/>
  <sheetViews>
    <sheetView view="pageBreakPreview" zoomScaleSheetLayoutView="100" zoomScalePageLayoutView="0" workbookViewId="0" topLeftCell="A62">
      <selection activeCell="D56" sqref="D56"/>
    </sheetView>
  </sheetViews>
  <sheetFormatPr defaultColWidth="9.140625" defaultRowHeight="12.75"/>
  <cols>
    <col min="1" max="1" width="2.7109375" style="0" customWidth="1"/>
    <col min="2" max="2" width="45.7109375" style="8" hidden="1" customWidth="1"/>
    <col min="3" max="3" width="8.140625" style="8" bestFit="1" customWidth="1"/>
    <col min="4" max="4" width="44.7109375" style="20" bestFit="1" customWidth="1"/>
    <col min="5" max="5" width="6.8515625" style="0" customWidth="1"/>
    <col min="6" max="6" width="5.8515625" style="0" customWidth="1"/>
    <col min="7" max="7" width="6.8515625" style="0" customWidth="1"/>
    <col min="8" max="8" width="6.57421875" style="0" customWidth="1"/>
    <col min="9" max="10" width="6.00390625" style="0" customWidth="1"/>
    <col min="11" max="11" width="6.28125" style="0" customWidth="1"/>
    <col min="12" max="12" width="6.8515625" style="0" customWidth="1"/>
    <col min="13" max="13" width="6.7109375" style="0" customWidth="1"/>
    <col min="14" max="14" width="6.28125" style="0" customWidth="1"/>
    <col min="15" max="15" width="5.8515625" style="0" customWidth="1"/>
    <col min="16" max="16" width="5.57421875" style="0" customWidth="1"/>
    <col min="17" max="17" width="6.8515625" style="0" customWidth="1"/>
    <col min="18" max="18" width="5.421875" style="0" customWidth="1"/>
    <col min="19" max="19" width="5.8515625" style="0" customWidth="1"/>
    <col min="20" max="20" width="6.140625" style="0" customWidth="1"/>
    <col min="21" max="21" width="7.8515625" style="0" customWidth="1"/>
    <col min="22" max="22" width="6.7109375" style="0" customWidth="1"/>
    <col min="23" max="23" width="7.00390625" style="0" customWidth="1"/>
    <col min="24" max="24" width="8.00390625" style="0" customWidth="1"/>
    <col min="25" max="25" width="26.28125" style="0" customWidth="1"/>
    <col min="26" max="26" width="8.421875" style="0" customWidth="1"/>
  </cols>
  <sheetData>
    <row r="1" spans="1:24" ht="15.75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15.75">
      <c r="A2" s="220" t="str">
        <f>контингент!A2</f>
        <v>01.11.2023 холати</v>
      </c>
      <c r="B2" s="220"/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s="20" customFormat="1" ht="12">
      <c r="A3" s="228" t="s">
        <v>0</v>
      </c>
      <c r="B3" s="42"/>
      <c r="C3" s="224" t="s">
        <v>87</v>
      </c>
      <c r="D3" s="226" t="s">
        <v>36</v>
      </c>
      <c r="E3" s="223" t="s">
        <v>1</v>
      </c>
      <c r="F3" s="223"/>
      <c r="G3" s="223"/>
      <c r="H3" s="223"/>
      <c r="I3" s="223" t="s">
        <v>2</v>
      </c>
      <c r="J3" s="223"/>
      <c r="K3" s="223"/>
      <c r="L3" s="223"/>
      <c r="M3" s="223" t="s">
        <v>3</v>
      </c>
      <c r="N3" s="223"/>
      <c r="O3" s="223"/>
      <c r="P3" s="223"/>
      <c r="Q3" s="223" t="s">
        <v>4</v>
      </c>
      <c r="R3" s="223"/>
      <c r="S3" s="223"/>
      <c r="T3" s="223"/>
      <c r="U3" s="223" t="s">
        <v>5</v>
      </c>
      <c r="V3" s="223"/>
      <c r="W3" s="223"/>
      <c r="X3" s="15"/>
    </row>
    <row r="4" spans="1:24" s="21" customFormat="1" ht="12">
      <c r="A4" s="229"/>
      <c r="B4" s="43"/>
      <c r="C4" s="225"/>
      <c r="D4" s="227"/>
      <c r="E4" s="16" t="s">
        <v>6</v>
      </c>
      <c r="F4" s="16" t="s">
        <v>7</v>
      </c>
      <c r="G4" s="16" t="s">
        <v>8</v>
      </c>
      <c r="H4" s="16" t="s">
        <v>5</v>
      </c>
      <c r="I4" s="16" t="s">
        <v>9</v>
      </c>
      <c r="J4" s="16" t="s">
        <v>7</v>
      </c>
      <c r="K4" s="16" t="s">
        <v>8</v>
      </c>
      <c r="L4" s="16" t="s">
        <v>5</v>
      </c>
      <c r="M4" s="16" t="s">
        <v>10</v>
      </c>
      <c r="N4" s="16" t="s">
        <v>7</v>
      </c>
      <c r="O4" s="16" t="s">
        <v>11</v>
      </c>
      <c r="P4" s="16" t="s">
        <v>5</v>
      </c>
      <c r="Q4" s="16" t="s">
        <v>9</v>
      </c>
      <c r="R4" s="16" t="s">
        <v>7</v>
      </c>
      <c r="S4" s="16" t="s">
        <v>11</v>
      </c>
      <c r="T4" s="16" t="s">
        <v>5</v>
      </c>
      <c r="U4" s="16" t="s">
        <v>9</v>
      </c>
      <c r="V4" s="16" t="s">
        <v>12</v>
      </c>
      <c r="W4" s="16" t="s">
        <v>8</v>
      </c>
      <c r="X4" s="16" t="s">
        <v>5</v>
      </c>
    </row>
    <row r="5" spans="1:24" s="122" customFormat="1" ht="14.25">
      <c r="A5" s="148">
        <v>1</v>
      </c>
      <c r="B5" s="116" t="s">
        <v>23</v>
      </c>
      <c r="C5" s="156"/>
      <c r="D5" s="149" t="s">
        <v>95</v>
      </c>
      <c r="E5" s="109">
        <f>+E6+E7+E8+E9</f>
        <v>137</v>
      </c>
      <c r="F5" s="109">
        <f aca="true" t="shared" si="0" ref="F5:X5">+F6+F7+F8+F9</f>
        <v>22</v>
      </c>
      <c r="G5" s="109">
        <f t="shared" si="0"/>
        <v>0</v>
      </c>
      <c r="H5" s="109">
        <f t="shared" si="0"/>
        <v>159</v>
      </c>
      <c r="I5" s="109">
        <f t="shared" si="0"/>
        <v>126</v>
      </c>
      <c r="J5" s="109">
        <f t="shared" si="0"/>
        <v>23</v>
      </c>
      <c r="K5" s="109">
        <f t="shared" si="0"/>
        <v>0</v>
      </c>
      <c r="L5" s="109">
        <f t="shared" si="0"/>
        <v>149</v>
      </c>
      <c r="M5" s="109">
        <f t="shared" si="0"/>
        <v>101</v>
      </c>
      <c r="N5" s="109">
        <f t="shared" si="0"/>
        <v>12</v>
      </c>
      <c r="O5" s="109">
        <f t="shared" si="0"/>
        <v>0</v>
      </c>
      <c r="P5" s="109">
        <f t="shared" si="0"/>
        <v>113</v>
      </c>
      <c r="Q5" s="109">
        <f t="shared" si="0"/>
        <v>326</v>
      </c>
      <c r="R5" s="109">
        <f t="shared" si="0"/>
        <v>63</v>
      </c>
      <c r="S5" s="109">
        <f t="shared" si="0"/>
        <v>17</v>
      </c>
      <c r="T5" s="109">
        <f t="shared" si="0"/>
        <v>406</v>
      </c>
      <c r="U5" s="109">
        <f t="shared" si="0"/>
        <v>690</v>
      </c>
      <c r="V5" s="109">
        <f t="shared" si="0"/>
        <v>120</v>
      </c>
      <c r="W5" s="109">
        <f t="shared" si="0"/>
        <v>17</v>
      </c>
      <c r="X5" s="109">
        <f t="shared" si="0"/>
        <v>827</v>
      </c>
    </row>
    <row r="6" spans="1:24" ht="15">
      <c r="A6" s="60">
        <v>1</v>
      </c>
      <c r="B6" s="35" t="s">
        <v>13</v>
      </c>
      <c r="C6" s="136">
        <v>60540100</v>
      </c>
      <c r="D6" s="52" t="s">
        <v>13</v>
      </c>
      <c r="E6" s="61">
        <f>+контингент!E6-бюджет!D6</f>
        <v>79</v>
      </c>
      <c r="F6" s="61">
        <f>+контингент!F6-бюджет!E6</f>
        <v>9</v>
      </c>
      <c r="G6" s="61">
        <f>+контингент!G6-бюджет!F6</f>
        <v>0</v>
      </c>
      <c r="H6" s="61">
        <f>+контингент!I6-бюджет!G6</f>
        <v>88</v>
      </c>
      <c r="I6" s="61">
        <f>+контингент!J6-бюджет!H6</f>
        <v>68</v>
      </c>
      <c r="J6" s="61">
        <f>+контингент!K6-бюджет!I6</f>
        <v>10</v>
      </c>
      <c r="K6" s="61">
        <f>+контингент!L6-бюджет!J6</f>
        <v>0</v>
      </c>
      <c r="L6" s="61">
        <f>+контингент!N6-бюджет!K6</f>
        <v>78</v>
      </c>
      <c r="M6" s="61">
        <f>+контингент!O6-бюджет!L6</f>
        <v>50</v>
      </c>
      <c r="N6" s="61">
        <f>+контингент!P6-бюджет!M6</f>
        <v>8</v>
      </c>
      <c r="O6" s="61">
        <f>+контингент!Q6-бюджет!N6</f>
        <v>0</v>
      </c>
      <c r="P6" s="61">
        <f>+контингент!S6-бюджет!O6</f>
        <v>58</v>
      </c>
      <c r="Q6" s="61">
        <f>+контингент!T6-бюджет!P6</f>
        <v>134</v>
      </c>
      <c r="R6" s="61">
        <f>+контингент!U6-бюджет!Q6</f>
        <v>9</v>
      </c>
      <c r="S6" s="61">
        <f>+контингент!V6-бюджет!R6</f>
        <v>0</v>
      </c>
      <c r="T6" s="61">
        <f>+контингент!X6-бюджет!S6</f>
        <v>143</v>
      </c>
      <c r="U6" s="61">
        <f>+контингент!Y6-бюджет!T6</f>
        <v>331</v>
      </c>
      <c r="V6" s="61">
        <f>+контингент!Z6-бюджет!U6</f>
        <v>36</v>
      </c>
      <c r="W6" s="61">
        <f>+контингент!AA6-бюджет!V6</f>
        <v>0</v>
      </c>
      <c r="X6" s="33">
        <f>U6+V6+W6</f>
        <v>367</v>
      </c>
    </row>
    <row r="7" spans="1:24" ht="15">
      <c r="A7" s="60">
        <v>2</v>
      </c>
      <c r="B7" s="9"/>
      <c r="C7" s="136">
        <v>60110600</v>
      </c>
      <c r="D7" s="78" t="s">
        <v>96</v>
      </c>
      <c r="E7" s="61">
        <f>+контингент!E7-бюджет!D7</f>
        <v>0</v>
      </c>
      <c r="F7" s="61">
        <f>+контингент!F7-бюджет!E7</f>
        <v>0</v>
      </c>
      <c r="G7" s="61">
        <f>+контингент!G7-бюджет!F7</f>
        <v>0</v>
      </c>
      <c r="H7" s="61">
        <f>+контингент!I7-бюджет!G7</f>
        <v>0</v>
      </c>
      <c r="I7" s="61">
        <f>+контингент!J7-бюджет!H7</f>
        <v>0</v>
      </c>
      <c r="J7" s="61">
        <f>+контингент!K7-бюджет!I7</f>
        <v>0</v>
      </c>
      <c r="K7" s="61">
        <f>+контингент!L7-бюджет!J7</f>
        <v>0</v>
      </c>
      <c r="L7" s="61">
        <f>+контингент!N7-бюджет!K7</f>
        <v>0</v>
      </c>
      <c r="M7" s="61">
        <f>+контингент!O7-бюджет!L7</f>
        <v>0</v>
      </c>
      <c r="N7" s="61">
        <f>+контингент!P7-бюджет!M7</f>
        <v>0</v>
      </c>
      <c r="O7" s="61">
        <f>+контингент!Q7-бюджет!N7</f>
        <v>0</v>
      </c>
      <c r="P7" s="61">
        <f>+контингент!S7-бюджет!O7</f>
        <v>0</v>
      </c>
      <c r="Q7" s="61">
        <f>+контингент!T7-бюджет!P7</f>
        <v>122</v>
      </c>
      <c r="R7" s="61">
        <f>+контингент!U7-бюджет!Q7</f>
        <v>45</v>
      </c>
      <c r="S7" s="61">
        <f>+контингент!V7-бюджет!R7</f>
        <v>17</v>
      </c>
      <c r="T7" s="61">
        <f>+контингент!X7-бюджет!S7</f>
        <v>184</v>
      </c>
      <c r="U7" s="61">
        <f>+контингент!Y7-бюджет!T7</f>
        <v>122</v>
      </c>
      <c r="V7" s="61">
        <f>+контингент!Z7-бюджет!U7</f>
        <v>45</v>
      </c>
      <c r="W7" s="61">
        <f>+контингент!AA7-бюджет!V7</f>
        <v>17</v>
      </c>
      <c r="X7" s="33">
        <f>U7+V7+W7</f>
        <v>184</v>
      </c>
    </row>
    <row r="8" spans="1:24" ht="15">
      <c r="A8" s="60">
        <v>3</v>
      </c>
      <c r="B8" s="9"/>
      <c r="C8" s="136">
        <v>60540300</v>
      </c>
      <c r="D8" s="78" t="s">
        <v>98</v>
      </c>
      <c r="E8" s="61">
        <f>+контингент!E8-бюджет!D8</f>
        <v>12</v>
      </c>
      <c r="F8" s="61">
        <f>+контингент!F8-бюджет!E8</f>
        <v>0</v>
      </c>
      <c r="G8" s="61">
        <f>+контингент!G8-бюджет!F8</f>
        <v>0</v>
      </c>
      <c r="H8" s="61">
        <f>+контингент!I8-бюджет!G8</f>
        <v>12</v>
      </c>
      <c r="I8" s="61">
        <f>+контингент!J8-бюджет!H8</f>
        <v>20</v>
      </c>
      <c r="J8" s="61">
        <f>+контингент!K8-бюджет!I8</f>
        <v>0</v>
      </c>
      <c r="K8" s="61">
        <f>+контингент!L8-бюджет!J8</f>
        <v>0</v>
      </c>
      <c r="L8" s="61">
        <f>+контингент!N8-бюджет!K8</f>
        <v>20</v>
      </c>
      <c r="M8" s="61">
        <f>+контингент!O8-бюджет!L8</f>
        <v>12</v>
      </c>
      <c r="N8" s="61">
        <f>+контингент!P8-бюджет!M8</f>
        <v>0</v>
      </c>
      <c r="O8" s="61">
        <f>+контингент!Q8-бюджет!N8</f>
        <v>0</v>
      </c>
      <c r="P8" s="61">
        <f>+контингент!S8-бюджет!O8</f>
        <v>12</v>
      </c>
      <c r="Q8" s="61">
        <f>+контингент!T8-бюджет!P8</f>
        <v>15</v>
      </c>
      <c r="R8" s="61">
        <f>+контингент!U8-бюджет!Q8</f>
        <v>0</v>
      </c>
      <c r="S8" s="61">
        <f>+контингент!V8-бюджет!R8</f>
        <v>0</v>
      </c>
      <c r="T8" s="61">
        <f>+контингент!X8-бюджет!S8</f>
        <v>15</v>
      </c>
      <c r="U8" s="61">
        <f>+контингент!Y8-бюджет!T8</f>
        <v>59</v>
      </c>
      <c r="V8" s="61">
        <f>+контингент!Z8-бюджет!U8</f>
        <v>0</v>
      </c>
      <c r="W8" s="61">
        <f>+контингент!AA8-бюджет!V8</f>
        <v>0</v>
      </c>
      <c r="X8" s="33">
        <f>U8+V8+W8</f>
        <v>59</v>
      </c>
    </row>
    <row r="9" spans="1:24" ht="15">
      <c r="A9" s="60">
        <v>4</v>
      </c>
      <c r="B9" s="9"/>
      <c r="C9" s="136">
        <v>60540200</v>
      </c>
      <c r="D9" s="78" t="s">
        <v>99</v>
      </c>
      <c r="E9" s="61">
        <f>+контингент!E9-бюджет!D9</f>
        <v>46</v>
      </c>
      <c r="F9" s="61">
        <f>+контингент!F9-бюджет!E9</f>
        <v>13</v>
      </c>
      <c r="G9" s="61">
        <f>+контингент!G9-бюджет!F9</f>
        <v>0</v>
      </c>
      <c r="H9" s="61">
        <f>+контингент!I9-бюджет!G9</f>
        <v>59</v>
      </c>
      <c r="I9" s="61">
        <f>+контингент!J9-бюджет!H9</f>
        <v>38</v>
      </c>
      <c r="J9" s="61">
        <f>+контингент!K9-бюджет!I9</f>
        <v>13</v>
      </c>
      <c r="K9" s="61">
        <f>+контингент!L9-бюджет!J9</f>
        <v>0</v>
      </c>
      <c r="L9" s="61">
        <f>+контингент!N9-бюджет!K9</f>
        <v>51</v>
      </c>
      <c r="M9" s="61">
        <f>+контингент!O9-бюджет!L9</f>
        <v>39</v>
      </c>
      <c r="N9" s="61">
        <f>+контингент!P9-бюджет!M9</f>
        <v>4</v>
      </c>
      <c r="O9" s="61">
        <f>+контингент!Q9-бюджет!N9</f>
        <v>0</v>
      </c>
      <c r="P9" s="61">
        <f>+контингент!S9-бюджет!O9</f>
        <v>43</v>
      </c>
      <c r="Q9" s="61">
        <f>+контингент!T9-бюджет!P9</f>
        <v>55</v>
      </c>
      <c r="R9" s="61">
        <f>+контингент!U9-бюджет!Q9</f>
        <v>9</v>
      </c>
      <c r="S9" s="61">
        <f>+контингент!V9-бюджет!R9</f>
        <v>0</v>
      </c>
      <c r="T9" s="61">
        <f>+контингент!X9-бюджет!S9</f>
        <v>64</v>
      </c>
      <c r="U9" s="61">
        <f>+контингент!Y9-бюджет!T9</f>
        <v>178</v>
      </c>
      <c r="V9" s="61">
        <f>+контингент!Z9-бюджет!U9</f>
        <v>39</v>
      </c>
      <c r="W9" s="61">
        <f>+контингент!AA9-бюджет!V9</f>
        <v>0</v>
      </c>
      <c r="X9" s="33">
        <f>U9+V9+W9</f>
        <v>217</v>
      </c>
    </row>
    <row r="10" spans="1:24" s="124" customFormat="1" ht="22.5">
      <c r="A10" s="95">
        <v>2</v>
      </c>
      <c r="B10" s="123" t="s">
        <v>43</v>
      </c>
      <c r="C10" s="161"/>
      <c r="D10" s="154" t="s">
        <v>123</v>
      </c>
      <c r="E10" s="109">
        <f>E11+E12+E13</f>
        <v>88</v>
      </c>
      <c r="F10" s="109">
        <f aca="true" t="shared" si="1" ref="F10:X10">F11+F12+F13</f>
        <v>0</v>
      </c>
      <c r="G10" s="109">
        <f t="shared" si="1"/>
        <v>0</v>
      </c>
      <c r="H10" s="109">
        <f t="shared" si="1"/>
        <v>88</v>
      </c>
      <c r="I10" s="109">
        <f t="shared" si="1"/>
        <v>56</v>
      </c>
      <c r="J10" s="109">
        <f t="shared" si="1"/>
        <v>9</v>
      </c>
      <c r="K10" s="109">
        <f t="shared" si="1"/>
        <v>0</v>
      </c>
      <c r="L10" s="109">
        <f t="shared" si="1"/>
        <v>65</v>
      </c>
      <c r="M10" s="109">
        <f t="shared" si="1"/>
        <v>85</v>
      </c>
      <c r="N10" s="109">
        <f t="shared" si="1"/>
        <v>13</v>
      </c>
      <c r="O10" s="109">
        <f t="shared" si="1"/>
        <v>0</v>
      </c>
      <c r="P10" s="109">
        <f t="shared" si="1"/>
        <v>98</v>
      </c>
      <c r="Q10" s="109">
        <f t="shared" si="1"/>
        <v>93</v>
      </c>
      <c r="R10" s="109">
        <f t="shared" si="1"/>
        <v>7</v>
      </c>
      <c r="S10" s="109">
        <f t="shared" si="1"/>
        <v>0</v>
      </c>
      <c r="T10" s="109">
        <f t="shared" si="1"/>
        <v>100</v>
      </c>
      <c r="U10" s="109">
        <f t="shared" si="1"/>
        <v>322</v>
      </c>
      <c r="V10" s="109">
        <f t="shared" si="1"/>
        <v>29</v>
      </c>
      <c r="W10" s="109">
        <f t="shared" si="1"/>
        <v>0</v>
      </c>
      <c r="X10" s="109">
        <f t="shared" si="1"/>
        <v>351</v>
      </c>
    </row>
    <row r="11" spans="1:26" ht="22.5">
      <c r="A11" s="60">
        <v>5</v>
      </c>
      <c r="B11" s="35"/>
      <c r="C11" s="136">
        <v>60610100</v>
      </c>
      <c r="D11" s="93" t="s">
        <v>100</v>
      </c>
      <c r="E11" s="61">
        <f>+контингент!E11-бюджет!D11</f>
        <v>32</v>
      </c>
      <c r="F11" s="61">
        <f>+контингент!F11-бюджет!E11</f>
        <v>0</v>
      </c>
      <c r="G11" s="61">
        <f>+контингент!G11-бюджет!F11</f>
        <v>0</v>
      </c>
      <c r="H11" s="61">
        <f>+контингент!I11-бюджет!G11</f>
        <v>32</v>
      </c>
      <c r="I11" s="61">
        <f>+контингент!J11-бюджет!H11</f>
        <v>22</v>
      </c>
      <c r="J11" s="61">
        <f>+контингент!K11-бюджет!I11</f>
        <v>0</v>
      </c>
      <c r="K11" s="61">
        <f>+контингент!L11-бюджет!J11</f>
        <v>0</v>
      </c>
      <c r="L11" s="61">
        <f>+контингент!N11-бюджет!K11</f>
        <v>22</v>
      </c>
      <c r="M11" s="61">
        <f>+контингент!O11-бюджет!L11</f>
        <v>46</v>
      </c>
      <c r="N11" s="61">
        <f>+контингент!P11-бюджет!M11</f>
        <v>13</v>
      </c>
      <c r="O11" s="61">
        <f>+контингент!Q11-бюджет!N11</f>
        <v>0</v>
      </c>
      <c r="P11" s="61">
        <f>+контингент!S11-бюджет!O11</f>
        <v>59</v>
      </c>
      <c r="Q11" s="61">
        <f>+контингент!T11-бюджет!P11</f>
        <v>56</v>
      </c>
      <c r="R11" s="61">
        <f>+контингент!U11-бюджет!Q11</f>
        <v>7</v>
      </c>
      <c r="S11" s="61">
        <f>+контингент!V11-бюджет!R11</f>
        <v>0</v>
      </c>
      <c r="T11" s="61">
        <f>+контингент!X11-бюджет!S11</f>
        <v>63</v>
      </c>
      <c r="U11" s="61">
        <f>+контингент!Y11-бюджет!T11</f>
        <v>156</v>
      </c>
      <c r="V11" s="61">
        <f>+контингент!Z11-бюджет!U11</f>
        <v>20</v>
      </c>
      <c r="W11" s="61">
        <f>+контингент!AA11-бюджет!V11</f>
        <v>0</v>
      </c>
      <c r="X11" s="33">
        <f>U11+V11+W11</f>
        <v>176</v>
      </c>
      <c r="Y11" s="45"/>
      <c r="Z11" s="23"/>
    </row>
    <row r="12" spans="1:26" ht="15">
      <c r="A12" s="60">
        <v>6</v>
      </c>
      <c r="B12" s="35"/>
      <c r="C12" s="136">
        <v>60610600</v>
      </c>
      <c r="D12" s="93" t="s">
        <v>101</v>
      </c>
      <c r="E12" s="61">
        <f>+контингент!E12-бюджет!D12</f>
        <v>42</v>
      </c>
      <c r="F12" s="61">
        <f>+контингент!F12-бюджет!E12</f>
        <v>0</v>
      </c>
      <c r="G12" s="61">
        <f>+контингент!G12-бюджет!F12</f>
        <v>0</v>
      </c>
      <c r="H12" s="61">
        <f>+контингент!I12-бюджет!G12</f>
        <v>42</v>
      </c>
      <c r="I12" s="61">
        <f>+контингент!J12-бюджет!H12</f>
        <v>29</v>
      </c>
      <c r="J12" s="61">
        <f>+контингент!K12-бюджет!I12</f>
        <v>9</v>
      </c>
      <c r="K12" s="61">
        <f>+контингент!L12-бюджет!J12</f>
        <v>0</v>
      </c>
      <c r="L12" s="61">
        <f>+контингент!N12-бюджет!K12</f>
        <v>38</v>
      </c>
      <c r="M12" s="61">
        <f>+контингент!O12-бюджет!L12</f>
        <v>39</v>
      </c>
      <c r="N12" s="61">
        <f>+контингент!P12-бюджет!M12</f>
        <v>0</v>
      </c>
      <c r="O12" s="61">
        <f>+контингент!Q12-бюджет!N12</f>
        <v>0</v>
      </c>
      <c r="P12" s="61">
        <f>+контингент!S12-бюджет!O12</f>
        <v>39</v>
      </c>
      <c r="Q12" s="61">
        <f>+контингент!T12-бюджет!P12</f>
        <v>37</v>
      </c>
      <c r="R12" s="61">
        <f>+контингент!U12-бюджет!Q12</f>
        <v>0</v>
      </c>
      <c r="S12" s="61">
        <f>+контингент!V12-бюджет!R12</f>
        <v>0</v>
      </c>
      <c r="T12" s="61">
        <f>+контингент!X12-бюджет!S12</f>
        <v>37</v>
      </c>
      <c r="U12" s="61">
        <f>+контингент!Y12-бюджет!T12</f>
        <v>147</v>
      </c>
      <c r="V12" s="61">
        <f>+контингент!Z12-бюджет!U12</f>
        <v>9</v>
      </c>
      <c r="W12" s="61">
        <f>+контингент!AA12-бюджет!V12</f>
        <v>0</v>
      </c>
      <c r="X12" s="33">
        <f>U12+V12+W12</f>
        <v>156</v>
      </c>
      <c r="Y12" s="45"/>
      <c r="Z12" s="23"/>
    </row>
    <row r="13" spans="1:26" ht="15">
      <c r="A13" s="60">
        <v>7</v>
      </c>
      <c r="B13" s="35"/>
      <c r="C13" s="94">
        <v>60610700</v>
      </c>
      <c r="D13" s="93" t="s">
        <v>122</v>
      </c>
      <c r="E13" s="61">
        <f>+контингент!E13-бюджет!D13</f>
        <v>14</v>
      </c>
      <c r="F13" s="61">
        <f>+контингент!F13-бюджет!E13</f>
        <v>0</v>
      </c>
      <c r="G13" s="61">
        <f>+контингент!G13-бюджет!F13</f>
        <v>0</v>
      </c>
      <c r="H13" s="61">
        <f>+контингент!I13-бюджет!G13</f>
        <v>14</v>
      </c>
      <c r="I13" s="61">
        <f>+контингент!J13-бюджет!H13</f>
        <v>5</v>
      </c>
      <c r="J13" s="61">
        <f>+контингент!K13-бюджет!I13</f>
        <v>0</v>
      </c>
      <c r="K13" s="61">
        <f>+контингент!L13-бюджет!J13</f>
        <v>0</v>
      </c>
      <c r="L13" s="61">
        <f>+контингент!N13-бюджет!K13</f>
        <v>5</v>
      </c>
      <c r="M13" s="61">
        <f>+контингент!O13-бюджет!L13</f>
        <v>0</v>
      </c>
      <c r="N13" s="61">
        <f>+контингент!P13-бюджет!M13</f>
        <v>0</v>
      </c>
      <c r="O13" s="61">
        <f>+контингент!Q13-бюджет!N13</f>
        <v>0</v>
      </c>
      <c r="P13" s="61">
        <f>+контингент!S13-бюджет!O13</f>
        <v>0</v>
      </c>
      <c r="Q13" s="61">
        <f>+контингент!T13-бюджет!P13</f>
        <v>0</v>
      </c>
      <c r="R13" s="61">
        <f>+контингент!U13-бюджет!Q13</f>
        <v>0</v>
      </c>
      <c r="S13" s="61">
        <f>+контингент!V13-бюджет!R13</f>
        <v>0</v>
      </c>
      <c r="T13" s="61">
        <f>+контингент!X13-бюджет!S13</f>
        <v>0</v>
      </c>
      <c r="U13" s="61">
        <f>+контингент!Y13-бюджет!T13</f>
        <v>19</v>
      </c>
      <c r="V13" s="61">
        <f>+контингент!Z13-бюджет!U13</f>
        <v>0</v>
      </c>
      <c r="W13" s="61">
        <f>+контингент!AA13-бюджет!V13</f>
        <v>0</v>
      </c>
      <c r="X13" s="33">
        <f>U13+V13+W13</f>
        <v>19</v>
      </c>
      <c r="Y13" s="45"/>
      <c r="Z13" s="23"/>
    </row>
    <row r="14" spans="1:26" s="122" customFormat="1" ht="14.25">
      <c r="A14" s="95">
        <v>3</v>
      </c>
      <c r="B14" s="123" t="s">
        <v>35</v>
      </c>
      <c r="C14" s="161"/>
      <c r="D14" s="162" t="s">
        <v>128</v>
      </c>
      <c r="E14" s="109">
        <f>E15+E16+E17+E18+E19+E20+E21</f>
        <v>154</v>
      </c>
      <c r="F14" s="109">
        <f aca="true" t="shared" si="2" ref="F14:Z14">F15+F16+F17+F18+F19+F20+F21</f>
        <v>11</v>
      </c>
      <c r="G14" s="109">
        <f t="shared" si="2"/>
        <v>0</v>
      </c>
      <c r="H14" s="109">
        <f t="shared" si="2"/>
        <v>165</v>
      </c>
      <c r="I14" s="109">
        <f t="shared" si="2"/>
        <v>76</v>
      </c>
      <c r="J14" s="109">
        <f t="shared" si="2"/>
        <v>2</v>
      </c>
      <c r="K14" s="109">
        <f t="shared" si="2"/>
        <v>0</v>
      </c>
      <c r="L14" s="109">
        <f t="shared" si="2"/>
        <v>78</v>
      </c>
      <c r="M14" s="109">
        <f t="shared" si="2"/>
        <v>79</v>
      </c>
      <c r="N14" s="109">
        <f t="shared" si="2"/>
        <v>7</v>
      </c>
      <c r="O14" s="109">
        <f t="shared" si="2"/>
        <v>0</v>
      </c>
      <c r="P14" s="109">
        <f t="shared" si="2"/>
        <v>86</v>
      </c>
      <c r="Q14" s="109">
        <f t="shared" si="2"/>
        <v>129</v>
      </c>
      <c r="R14" s="109">
        <f t="shared" si="2"/>
        <v>28</v>
      </c>
      <c r="S14" s="109">
        <f t="shared" si="2"/>
        <v>6</v>
      </c>
      <c r="T14" s="109">
        <f t="shared" si="2"/>
        <v>163</v>
      </c>
      <c r="U14" s="109">
        <f t="shared" si="2"/>
        <v>438</v>
      </c>
      <c r="V14" s="109">
        <f t="shared" si="2"/>
        <v>48</v>
      </c>
      <c r="W14" s="109">
        <f t="shared" si="2"/>
        <v>6</v>
      </c>
      <c r="X14" s="109">
        <f t="shared" si="2"/>
        <v>492</v>
      </c>
      <c r="Y14" s="109" t="e">
        <f t="shared" si="2"/>
        <v>#VALUE!</v>
      </c>
      <c r="Z14" s="109">
        <f t="shared" si="2"/>
        <v>1042</v>
      </c>
    </row>
    <row r="15" spans="1:26" s="3" customFormat="1" ht="15">
      <c r="A15" s="60">
        <v>8</v>
      </c>
      <c r="B15" s="18"/>
      <c r="C15" s="136">
        <v>60530900</v>
      </c>
      <c r="D15" s="52" t="s">
        <v>15</v>
      </c>
      <c r="E15" s="61">
        <f>+контингент!E15-бюджет!D15</f>
        <v>41</v>
      </c>
      <c r="F15" s="61">
        <f>+контингент!F15-бюджет!E15</f>
        <v>11</v>
      </c>
      <c r="G15" s="61">
        <f>+контингент!G15-бюджет!F15</f>
        <v>0</v>
      </c>
      <c r="H15" s="61">
        <f>+контингент!I15-бюджет!G15</f>
        <v>52</v>
      </c>
      <c r="I15" s="61">
        <f>+контингент!J15-бюджет!H15</f>
        <v>30</v>
      </c>
      <c r="J15" s="61">
        <f>+контингент!K15-бюджет!I15</f>
        <v>2</v>
      </c>
      <c r="K15" s="61">
        <f>+контингент!L15-бюджет!J15</f>
        <v>0</v>
      </c>
      <c r="L15" s="61">
        <f>+контингент!N15-бюджет!K15</f>
        <v>32</v>
      </c>
      <c r="M15" s="61">
        <f>+контингент!O15-бюджет!L15</f>
        <v>52</v>
      </c>
      <c r="N15" s="61">
        <f>+контингент!P15-бюджет!M15</f>
        <v>7</v>
      </c>
      <c r="O15" s="61">
        <f>+контингент!Q15-бюджет!N15</f>
        <v>0</v>
      </c>
      <c r="P15" s="61">
        <f>+контингент!S15-бюджет!O15</f>
        <v>59</v>
      </c>
      <c r="Q15" s="61">
        <f>+контингент!T15-бюджет!P15</f>
        <v>54</v>
      </c>
      <c r="R15" s="61">
        <f>+контингент!U15-бюджет!Q15</f>
        <v>12</v>
      </c>
      <c r="S15" s="61">
        <f>+контингент!V15-бюджет!R15</f>
        <v>0</v>
      </c>
      <c r="T15" s="61">
        <f>+контингент!X15-бюджет!S15</f>
        <v>66</v>
      </c>
      <c r="U15" s="61">
        <f>+контингент!Y15-бюджет!T15</f>
        <v>177</v>
      </c>
      <c r="V15" s="61">
        <f>+контингент!Z15-бюджет!U15</f>
        <v>32</v>
      </c>
      <c r="W15" s="61">
        <f>+контингент!AA15-бюджет!V15</f>
        <v>0</v>
      </c>
      <c r="X15" s="33">
        <f aca="true" t="shared" si="3" ref="X15:X21">U15+V15+W15</f>
        <v>209</v>
      </c>
      <c r="Y15" s="45"/>
      <c r="Z15" s="23"/>
    </row>
    <row r="16" spans="1:26" s="3" customFormat="1" ht="15">
      <c r="A16" s="60">
        <v>9</v>
      </c>
      <c r="B16" s="18"/>
      <c r="C16" s="163">
        <v>60110700</v>
      </c>
      <c r="D16" s="93" t="s">
        <v>111</v>
      </c>
      <c r="E16" s="61">
        <f>+контингент!E16-бюджет!D16</f>
        <v>0</v>
      </c>
      <c r="F16" s="61">
        <f>+контингент!F16-бюджет!E16</f>
        <v>0</v>
      </c>
      <c r="G16" s="61">
        <f>+контингент!G16-бюджет!F16</f>
        <v>0</v>
      </c>
      <c r="H16" s="61">
        <f>+контингент!I16-бюджет!G16</f>
        <v>0</v>
      </c>
      <c r="I16" s="61">
        <f>+контингент!J16-бюджет!H16</f>
        <v>0</v>
      </c>
      <c r="J16" s="61">
        <f>+контингент!K16-бюджет!I16</f>
        <v>0</v>
      </c>
      <c r="K16" s="61">
        <f>+контингент!L16-бюджет!J16</f>
        <v>0</v>
      </c>
      <c r="L16" s="61">
        <f>+контингент!N16-бюджет!K16</f>
        <v>0</v>
      </c>
      <c r="M16" s="61">
        <f>+контингент!O16-бюджет!L16</f>
        <v>0</v>
      </c>
      <c r="N16" s="61">
        <f>+контингент!P16-бюджет!M16</f>
        <v>0</v>
      </c>
      <c r="O16" s="61">
        <f>+контингент!Q16-бюджет!N16</f>
        <v>0</v>
      </c>
      <c r="P16" s="61">
        <f>+контингент!S16-бюджет!O16</f>
        <v>0</v>
      </c>
      <c r="Q16" s="61">
        <f>+контингент!T16-бюджет!P16</f>
        <v>30</v>
      </c>
      <c r="R16" s="61">
        <f>+контингент!U16-бюджет!Q16</f>
        <v>16</v>
      </c>
      <c r="S16" s="61">
        <f>+контингент!V16-бюджет!R16</f>
        <v>6</v>
      </c>
      <c r="T16" s="61">
        <f>+контингент!X16-бюджет!S16</f>
        <v>52</v>
      </c>
      <c r="U16" s="61">
        <f>+контингент!Y16-бюджет!T16</f>
        <v>30</v>
      </c>
      <c r="V16" s="61">
        <f>+контингент!Z16-бюджет!U16</f>
        <v>16</v>
      </c>
      <c r="W16" s="61">
        <f>+контингент!AA16-бюджет!V16</f>
        <v>6</v>
      </c>
      <c r="X16" s="34">
        <f t="shared" si="3"/>
        <v>52</v>
      </c>
      <c r="Y16" s="45"/>
      <c r="Z16" s="23"/>
    </row>
    <row r="17" spans="1:26" ht="15">
      <c r="A17" s="60">
        <v>10</v>
      </c>
      <c r="B17" s="35" t="s">
        <v>15</v>
      </c>
      <c r="C17" s="163">
        <v>60531000</v>
      </c>
      <c r="D17" s="78" t="s">
        <v>97</v>
      </c>
      <c r="E17" s="61">
        <f>+контингент!E17-бюджет!D17</f>
        <v>28</v>
      </c>
      <c r="F17" s="61">
        <f>+контингент!F17-бюджет!E17</f>
        <v>0</v>
      </c>
      <c r="G17" s="61">
        <f>+контингент!G17-бюджет!F17</f>
        <v>0</v>
      </c>
      <c r="H17" s="61">
        <f>+контингент!I17-бюджет!G17</f>
        <v>28</v>
      </c>
      <c r="I17" s="61">
        <f>+контингент!J17-бюджет!H17</f>
        <v>14</v>
      </c>
      <c r="J17" s="61">
        <f>+контингент!K17-бюджет!I17</f>
        <v>0</v>
      </c>
      <c r="K17" s="61">
        <f>+контингент!L17-бюджет!J17</f>
        <v>0</v>
      </c>
      <c r="L17" s="61">
        <f>+контингент!N17-бюджет!K17</f>
        <v>14</v>
      </c>
      <c r="M17" s="61">
        <f>+контингент!O17-бюджет!L17</f>
        <v>27</v>
      </c>
      <c r="N17" s="61">
        <f>+контингент!P17-бюджет!M17</f>
        <v>0</v>
      </c>
      <c r="O17" s="61">
        <f>+контингент!Q17-бюджет!N17</f>
        <v>0</v>
      </c>
      <c r="P17" s="61">
        <f>+контингент!S17-бюджет!O17</f>
        <v>27</v>
      </c>
      <c r="Q17" s="61">
        <f>+контингент!T17-бюджет!P17</f>
        <v>45</v>
      </c>
      <c r="R17" s="61">
        <f>+контингент!U17-бюджет!Q17</f>
        <v>0</v>
      </c>
      <c r="S17" s="61">
        <f>+контингент!V17-бюджет!R17</f>
        <v>0</v>
      </c>
      <c r="T17" s="61">
        <f>+контингент!X17-бюджет!S17</f>
        <v>45</v>
      </c>
      <c r="U17" s="61">
        <f>+контингент!Y17-бюджет!T17</f>
        <v>114</v>
      </c>
      <c r="V17" s="61">
        <f>+контингент!Z17-бюджет!U17</f>
        <v>0</v>
      </c>
      <c r="W17" s="61">
        <f>+контингент!AA17-бюджет!V17</f>
        <v>0</v>
      </c>
      <c r="X17" s="33">
        <f t="shared" si="3"/>
        <v>114</v>
      </c>
      <c r="Y17" s="45" t="s">
        <v>49</v>
      </c>
      <c r="Z17" s="23">
        <f>X39+X58</f>
        <v>160</v>
      </c>
    </row>
    <row r="18" spans="1:26" ht="15">
      <c r="A18" s="60">
        <v>11</v>
      </c>
      <c r="B18" s="35" t="s">
        <v>22</v>
      </c>
      <c r="C18" s="94">
        <v>60531200</v>
      </c>
      <c r="D18" s="93" t="s">
        <v>124</v>
      </c>
      <c r="E18" s="61">
        <f>+контингент!E18-бюджет!D18</f>
        <v>19</v>
      </c>
      <c r="F18" s="61">
        <f>+контингент!F18-бюджет!E18</f>
        <v>0</v>
      </c>
      <c r="G18" s="61">
        <f>+контингент!G18-бюджет!F18</f>
        <v>0</v>
      </c>
      <c r="H18" s="61">
        <f>+контингент!I18-бюджет!G18</f>
        <v>19</v>
      </c>
      <c r="I18" s="61">
        <f>+контингент!J18-бюджет!H18</f>
        <v>11</v>
      </c>
      <c r="J18" s="61">
        <f>+контингент!K18-бюджет!I18</f>
        <v>0</v>
      </c>
      <c r="K18" s="61">
        <f>+контингент!L18-бюджет!J18</f>
        <v>0</v>
      </c>
      <c r="L18" s="61">
        <f>+контингент!N18-бюджет!K18</f>
        <v>11</v>
      </c>
      <c r="M18" s="61">
        <f>+контингент!O18-бюджет!L18</f>
        <v>0</v>
      </c>
      <c r="N18" s="61">
        <f>+контингент!P18-бюджет!M18</f>
        <v>0</v>
      </c>
      <c r="O18" s="61">
        <f>+контингент!Q18-бюджет!N18</f>
        <v>0</v>
      </c>
      <c r="P18" s="61">
        <f>+контингент!S18-бюджет!O18</f>
        <v>0</v>
      </c>
      <c r="Q18" s="61">
        <f>+контингент!T18-бюджет!P18</f>
        <v>0</v>
      </c>
      <c r="R18" s="61">
        <f>+контингент!U18-бюджет!Q18</f>
        <v>0</v>
      </c>
      <c r="S18" s="61">
        <f>+контингент!V18-бюджет!R18</f>
        <v>0</v>
      </c>
      <c r="T18" s="61">
        <f>+контингент!X18-бюджет!S18</f>
        <v>0</v>
      </c>
      <c r="U18" s="61">
        <f>+контингент!Y18-бюджет!T18</f>
        <v>30</v>
      </c>
      <c r="V18" s="61">
        <f>+контингент!Z18-бюджет!U18</f>
        <v>0</v>
      </c>
      <c r="W18" s="61">
        <f>+контингент!AA18-бюджет!V18</f>
        <v>0</v>
      </c>
      <c r="X18" s="33">
        <f t="shared" si="3"/>
        <v>30</v>
      </c>
      <c r="Y18" s="46" t="s">
        <v>63</v>
      </c>
      <c r="Z18" s="23">
        <f>X44+X51+X53+X54</f>
        <v>740</v>
      </c>
    </row>
    <row r="19" spans="1:26" ht="24">
      <c r="A19" s="60">
        <v>12</v>
      </c>
      <c r="B19" s="37" t="s">
        <v>44</v>
      </c>
      <c r="C19" s="94">
        <v>60711200</v>
      </c>
      <c r="D19" s="93" t="s">
        <v>125</v>
      </c>
      <c r="E19" s="61">
        <f>+контингент!E19-бюджет!D19</f>
        <v>19</v>
      </c>
      <c r="F19" s="61">
        <f>+контингент!F19-бюджет!E19</f>
        <v>0</v>
      </c>
      <c r="G19" s="61">
        <f>+контингент!G19-бюджет!F19</f>
        <v>0</v>
      </c>
      <c r="H19" s="61">
        <f>+контингент!I19-бюджет!G19</f>
        <v>19</v>
      </c>
      <c r="I19" s="61">
        <f>+контингент!J19-бюджет!H19</f>
        <v>9</v>
      </c>
      <c r="J19" s="61">
        <f>+контингент!K19-бюджет!I19</f>
        <v>0</v>
      </c>
      <c r="K19" s="61">
        <f>+контингент!L19-бюджет!J19</f>
        <v>0</v>
      </c>
      <c r="L19" s="61">
        <f>+контингент!N19-бюджет!K19</f>
        <v>9</v>
      </c>
      <c r="M19" s="61">
        <f>+контингент!O19-бюджет!L19</f>
        <v>0</v>
      </c>
      <c r="N19" s="61">
        <f>+контингент!P19-бюджет!M19</f>
        <v>0</v>
      </c>
      <c r="O19" s="61">
        <f>+контингент!Q19-бюджет!N19</f>
        <v>0</v>
      </c>
      <c r="P19" s="61">
        <f>+контингент!S19-бюджет!O19</f>
        <v>0</v>
      </c>
      <c r="Q19" s="61">
        <f>+контингент!T19-бюджет!P19</f>
        <v>0</v>
      </c>
      <c r="R19" s="61">
        <f>+контингент!U19-бюджет!Q19</f>
        <v>0</v>
      </c>
      <c r="S19" s="61">
        <f>+контингент!V19-бюджет!R19</f>
        <v>0</v>
      </c>
      <c r="T19" s="61">
        <f>+контингент!X19-бюджет!S19</f>
        <v>0</v>
      </c>
      <c r="U19" s="61">
        <f>+контингент!Y19-бюджет!T19</f>
        <v>28</v>
      </c>
      <c r="V19" s="61">
        <f>+контингент!Z19-бюджет!U19</f>
        <v>0</v>
      </c>
      <c r="W19" s="61">
        <f>+контингент!AA19-бюджет!V19</f>
        <v>0</v>
      </c>
      <c r="X19" s="33">
        <f t="shared" si="3"/>
        <v>28</v>
      </c>
      <c r="Y19" s="44" t="s">
        <v>64</v>
      </c>
      <c r="Z19" s="23">
        <f>X52</f>
        <v>142</v>
      </c>
    </row>
    <row r="20" spans="1:26" ht="22.5">
      <c r="A20" s="60">
        <v>13</v>
      </c>
      <c r="B20" s="49" t="s">
        <v>75</v>
      </c>
      <c r="C20" s="94">
        <v>60711600</v>
      </c>
      <c r="D20" s="93" t="s">
        <v>126</v>
      </c>
      <c r="E20" s="61">
        <f>+контингент!E20-бюджет!D20</f>
        <v>25</v>
      </c>
      <c r="F20" s="61">
        <f>+контингент!F20-бюджет!E20</f>
        <v>0</v>
      </c>
      <c r="G20" s="61">
        <f>+контингент!G20-бюджет!F20</f>
        <v>0</v>
      </c>
      <c r="H20" s="61">
        <f>+контингент!I20-бюджет!G20</f>
        <v>25</v>
      </c>
      <c r="I20" s="61">
        <f>+контингент!J20-бюджет!H20</f>
        <v>2</v>
      </c>
      <c r="J20" s="61">
        <f>+контингент!K20-бюджет!I20</f>
        <v>0</v>
      </c>
      <c r="K20" s="61">
        <f>+контингент!L20-бюджет!J20</f>
        <v>0</v>
      </c>
      <c r="L20" s="61">
        <f>+контингент!N20-бюджет!K20</f>
        <v>2</v>
      </c>
      <c r="M20" s="61">
        <f>+контингент!O20-бюджет!L20</f>
        <v>0</v>
      </c>
      <c r="N20" s="61">
        <f>+контингент!P20-бюджет!M20</f>
        <v>0</v>
      </c>
      <c r="O20" s="61">
        <f>+контингент!Q20-бюджет!N20</f>
        <v>0</v>
      </c>
      <c r="P20" s="61">
        <f>+контингент!S20-бюджет!O20</f>
        <v>0</v>
      </c>
      <c r="Q20" s="61">
        <f>+контингент!T20-бюджет!P20</f>
        <v>0</v>
      </c>
      <c r="R20" s="61">
        <f>+контингент!U20-бюджет!Q20</f>
        <v>0</v>
      </c>
      <c r="S20" s="61">
        <f>+контингент!V20-бюджет!R20</f>
        <v>0</v>
      </c>
      <c r="T20" s="61">
        <f>+контингент!X20-бюджет!S20</f>
        <v>0</v>
      </c>
      <c r="U20" s="61">
        <f>+контингент!Y20-бюджет!T20</f>
        <v>27</v>
      </c>
      <c r="V20" s="61">
        <f>+контингент!Z20-бюджет!U20</f>
        <v>0</v>
      </c>
      <c r="W20" s="61">
        <f>+контингент!AA20-бюджет!V20</f>
        <v>0</v>
      </c>
      <c r="X20" s="33">
        <f t="shared" si="3"/>
        <v>27</v>
      </c>
      <c r="Y20" s="50"/>
      <c r="Z20" s="51"/>
    </row>
    <row r="21" spans="1:26" ht="22.5">
      <c r="A21" s="60">
        <v>14</v>
      </c>
      <c r="B21" s="49"/>
      <c r="C21" s="94">
        <v>60720800</v>
      </c>
      <c r="D21" s="93" t="s">
        <v>127</v>
      </c>
      <c r="E21" s="61">
        <f>+контингент!E21-бюджет!D21</f>
        <v>22</v>
      </c>
      <c r="F21" s="61">
        <f>+контингент!F21-бюджет!E21</f>
        <v>0</v>
      </c>
      <c r="G21" s="61">
        <f>+контингент!G21-бюджет!F21</f>
        <v>0</v>
      </c>
      <c r="H21" s="61">
        <f>+контингент!I21-бюджет!G21</f>
        <v>22</v>
      </c>
      <c r="I21" s="61">
        <f>+контингент!J21-бюджет!H21</f>
        <v>10</v>
      </c>
      <c r="J21" s="61">
        <f>+контингент!K21-бюджет!I21</f>
        <v>0</v>
      </c>
      <c r="K21" s="61">
        <f>+контингент!L21-бюджет!J21</f>
        <v>0</v>
      </c>
      <c r="L21" s="61">
        <f>+контингент!N21-бюджет!K21</f>
        <v>10</v>
      </c>
      <c r="M21" s="61">
        <f>+контингент!O21-бюджет!L21</f>
        <v>0</v>
      </c>
      <c r="N21" s="61">
        <f>+контингент!P21-бюджет!M21</f>
        <v>0</v>
      </c>
      <c r="O21" s="61">
        <f>+контингент!Q21-бюджет!N21</f>
        <v>0</v>
      </c>
      <c r="P21" s="61">
        <f>+контингент!S21-бюджет!O21</f>
        <v>0</v>
      </c>
      <c r="Q21" s="61">
        <f>+контингент!T21-бюджет!P21</f>
        <v>0</v>
      </c>
      <c r="R21" s="61">
        <f>+контингент!U21-бюджет!Q21</f>
        <v>0</v>
      </c>
      <c r="S21" s="61">
        <f>+контингент!V21-бюджет!R21</f>
        <v>0</v>
      </c>
      <c r="T21" s="61">
        <f>+контингент!X21-бюджет!S21</f>
        <v>0</v>
      </c>
      <c r="U21" s="61">
        <f>+контингент!Y21-бюджет!T21</f>
        <v>32</v>
      </c>
      <c r="V21" s="61">
        <f>+контингент!Z21-бюджет!U21</f>
        <v>0</v>
      </c>
      <c r="W21" s="61">
        <f>+контингент!AA21-бюджет!V21</f>
        <v>0</v>
      </c>
      <c r="X21" s="33">
        <f t="shared" si="3"/>
        <v>32</v>
      </c>
      <c r="Y21" s="50"/>
      <c r="Z21" s="51"/>
    </row>
    <row r="22" spans="1:24" s="126" customFormat="1" ht="14.25">
      <c r="A22" s="95">
        <v>4</v>
      </c>
      <c r="B22" s="125" t="s">
        <v>31</v>
      </c>
      <c r="C22" s="161"/>
      <c r="D22" s="156" t="s">
        <v>31</v>
      </c>
      <c r="E22" s="109">
        <f>E23+E24+E25+E26+E27+E28+E29</f>
        <v>115</v>
      </c>
      <c r="F22" s="109">
        <f aca="true" t="shared" si="4" ref="F22:X22">F23+F24+F25+F26+F27+F28+F29</f>
        <v>41</v>
      </c>
      <c r="G22" s="109">
        <f t="shared" si="4"/>
        <v>21</v>
      </c>
      <c r="H22" s="109">
        <f t="shared" si="4"/>
        <v>177</v>
      </c>
      <c r="I22" s="109">
        <f t="shared" si="4"/>
        <v>115</v>
      </c>
      <c r="J22" s="109">
        <f t="shared" si="4"/>
        <v>53</v>
      </c>
      <c r="K22" s="109">
        <f t="shared" si="4"/>
        <v>19</v>
      </c>
      <c r="L22" s="109">
        <f t="shared" si="4"/>
        <v>187</v>
      </c>
      <c r="M22" s="109">
        <f t="shared" si="4"/>
        <v>178</v>
      </c>
      <c r="N22" s="109">
        <f t="shared" si="4"/>
        <v>123</v>
      </c>
      <c r="O22" s="109">
        <f t="shared" si="4"/>
        <v>38</v>
      </c>
      <c r="P22" s="109">
        <f t="shared" si="4"/>
        <v>339</v>
      </c>
      <c r="Q22" s="109">
        <f t="shared" si="4"/>
        <v>269</v>
      </c>
      <c r="R22" s="109">
        <f t="shared" si="4"/>
        <v>381</v>
      </c>
      <c r="S22" s="109">
        <f t="shared" si="4"/>
        <v>31</v>
      </c>
      <c r="T22" s="109">
        <f t="shared" si="4"/>
        <v>681</v>
      </c>
      <c r="U22" s="109">
        <f t="shared" si="4"/>
        <v>677</v>
      </c>
      <c r="V22" s="109">
        <f t="shared" si="4"/>
        <v>598</v>
      </c>
      <c r="W22" s="109">
        <f t="shared" si="4"/>
        <v>109</v>
      </c>
      <c r="X22" s="109">
        <f t="shared" si="4"/>
        <v>1384</v>
      </c>
    </row>
    <row r="23" spans="1:24" ht="15">
      <c r="A23" s="60">
        <v>15</v>
      </c>
      <c r="B23" s="35" t="s">
        <v>39</v>
      </c>
      <c r="C23" s="136">
        <v>60230100</v>
      </c>
      <c r="D23" s="52" t="s">
        <v>65</v>
      </c>
      <c r="E23" s="61">
        <f>+контингент!E23-бюджет!D23</f>
        <v>0</v>
      </c>
      <c r="F23" s="61">
        <f>+контингент!F23-бюджет!E23</f>
        <v>0</v>
      </c>
      <c r="G23" s="61">
        <f>+контингент!G23-бюджет!F23</f>
        <v>21</v>
      </c>
      <c r="H23" s="61">
        <f>+контингент!I23-бюджет!G23</f>
        <v>21</v>
      </c>
      <c r="I23" s="61">
        <f>+контингент!J23-бюджет!H23</f>
        <v>0</v>
      </c>
      <c r="J23" s="61">
        <f>+контингент!K23-бюджет!I23</f>
        <v>0</v>
      </c>
      <c r="K23" s="61">
        <f>+контингент!L23-бюджет!J23</f>
        <v>19</v>
      </c>
      <c r="L23" s="61">
        <f>+контингент!N23-бюджет!K23</f>
        <v>19</v>
      </c>
      <c r="M23" s="61">
        <f>+контингент!O23-бюджет!L23</f>
        <v>0</v>
      </c>
      <c r="N23" s="61">
        <f>+контингент!P23-бюджет!M23</f>
        <v>0</v>
      </c>
      <c r="O23" s="61">
        <f>+контингент!Q23-бюджет!N23</f>
        <v>38</v>
      </c>
      <c r="P23" s="61">
        <f>+контингент!S23-бюджет!O23</f>
        <v>38</v>
      </c>
      <c r="Q23" s="61">
        <f>+контингент!T23-бюджет!P23</f>
        <v>0</v>
      </c>
      <c r="R23" s="61">
        <f>+контингент!U23-бюджет!Q23</f>
        <v>0</v>
      </c>
      <c r="S23" s="61">
        <f>+контингент!V23-бюджет!R23</f>
        <v>31</v>
      </c>
      <c r="T23" s="61">
        <f>+контингент!X23-бюджет!S23</f>
        <v>31</v>
      </c>
      <c r="U23" s="61">
        <f>+контингент!Y23-бюджет!T23</f>
        <v>0</v>
      </c>
      <c r="V23" s="61">
        <f>+контингент!Z23-бюджет!U23</f>
        <v>0</v>
      </c>
      <c r="W23" s="61">
        <f>+контингент!AA23-бюджет!V23</f>
        <v>109</v>
      </c>
      <c r="X23" s="33">
        <f aca="true" t="shared" si="5" ref="X23:X29">U23+V23+W23</f>
        <v>109</v>
      </c>
    </row>
    <row r="24" spans="1:24" s="7" customFormat="1" ht="15">
      <c r="A24" s="60">
        <v>16</v>
      </c>
      <c r="B24" s="35" t="s">
        <v>42</v>
      </c>
      <c r="C24" s="136">
        <v>60230100</v>
      </c>
      <c r="D24" s="52" t="s">
        <v>66</v>
      </c>
      <c r="E24" s="61">
        <f>+контингент!E24-бюджет!D24</f>
        <v>79</v>
      </c>
      <c r="F24" s="61">
        <f>+контингент!F24-бюджет!E24</f>
        <v>0</v>
      </c>
      <c r="G24" s="61">
        <f>+контингент!G24-бюджет!F24</f>
        <v>0</v>
      </c>
      <c r="H24" s="61">
        <f>+контингент!I24-бюджет!G24</f>
        <v>79</v>
      </c>
      <c r="I24" s="61">
        <f>+контингент!J24-бюджет!H24</f>
        <v>101</v>
      </c>
      <c r="J24" s="61">
        <f>+контингент!K24-бюджет!I24</f>
        <v>0</v>
      </c>
      <c r="K24" s="61">
        <f>+контингент!L24-бюджет!J24</f>
        <v>0</v>
      </c>
      <c r="L24" s="61">
        <f>+контингент!N24-бюджет!K24</f>
        <v>101</v>
      </c>
      <c r="M24" s="61">
        <f>+контингент!O24-бюджет!L24</f>
        <v>158</v>
      </c>
      <c r="N24" s="61">
        <f>+контингент!P24-бюджет!M24</f>
        <v>0</v>
      </c>
      <c r="O24" s="61">
        <f>+контингент!Q24-бюджет!N24</f>
        <v>0</v>
      </c>
      <c r="P24" s="61">
        <f>+контингент!S24-бюджет!O24</f>
        <v>158</v>
      </c>
      <c r="Q24" s="61">
        <f>+контингент!T24-бюджет!P24</f>
        <v>162</v>
      </c>
      <c r="R24" s="61">
        <f>+контингент!U24-бюджет!Q24</f>
        <v>0</v>
      </c>
      <c r="S24" s="61">
        <f>+контингент!V24-бюджет!R24</f>
        <v>0</v>
      </c>
      <c r="T24" s="61">
        <f>+контингент!X24-бюджет!S24</f>
        <v>162</v>
      </c>
      <c r="U24" s="61">
        <f>+контингент!Y24-бюджет!T24</f>
        <v>500</v>
      </c>
      <c r="V24" s="61">
        <f>+контингент!Z24-бюджет!U24</f>
        <v>0</v>
      </c>
      <c r="W24" s="61">
        <f>+контингент!AA24-бюджет!V24</f>
        <v>0</v>
      </c>
      <c r="X24" s="33">
        <f t="shared" si="5"/>
        <v>500</v>
      </c>
    </row>
    <row r="25" spans="1:24" s="7" customFormat="1" ht="15">
      <c r="A25" s="60">
        <v>17</v>
      </c>
      <c r="B25" s="35"/>
      <c r="C25" s="136">
        <v>60230600</v>
      </c>
      <c r="D25" s="52" t="s">
        <v>102</v>
      </c>
      <c r="E25" s="61">
        <f>+контингент!E25-бюджет!D25</f>
        <v>0</v>
      </c>
      <c r="F25" s="61">
        <f>+контингент!F25-бюджет!E25</f>
        <v>0</v>
      </c>
      <c r="G25" s="61">
        <f>+контингент!G25-бюджет!F25</f>
        <v>0</v>
      </c>
      <c r="H25" s="61">
        <f>+контингент!I25-бюджет!G25</f>
        <v>0</v>
      </c>
      <c r="I25" s="61">
        <f>+контингент!J25-бюджет!H25</f>
        <v>14</v>
      </c>
      <c r="J25" s="61">
        <f>+контингент!K25-бюджет!I25</f>
        <v>0</v>
      </c>
      <c r="K25" s="61">
        <f>+контингент!L25-бюджет!J25</f>
        <v>0</v>
      </c>
      <c r="L25" s="61">
        <f>+контингент!N25-бюджет!K25</f>
        <v>14</v>
      </c>
      <c r="M25" s="61">
        <f>+контингент!O25-бюджет!L25</f>
        <v>20</v>
      </c>
      <c r="N25" s="61">
        <f>+контингент!P25-бюджет!M25</f>
        <v>0</v>
      </c>
      <c r="O25" s="61">
        <f>+контингент!Q25-бюджет!N25</f>
        <v>0</v>
      </c>
      <c r="P25" s="61">
        <f>+контингент!S25-бюджет!O25</f>
        <v>20</v>
      </c>
      <c r="Q25" s="61">
        <f>+контингент!T25-бюджет!P25</f>
        <v>17</v>
      </c>
      <c r="R25" s="61">
        <f>+контингент!U25-бюджет!Q25</f>
        <v>0</v>
      </c>
      <c r="S25" s="61">
        <f>+контингент!V25-бюджет!R25</f>
        <v>0</v>
      </c>
      <c r="T25" s="61">
        <f>+контингент!X25-бюджет!S25</f>
        <v>17</v>
      </c>
      <c r="U25" s="61">
        <f>+контингент!Y25-бюджет!T25</f>
        <v>51</v>
      </c>
      <c r="V25" s="61">
        <f>+контингент!Z25-бюджет!U25</f>
        <v>0</v>
      </c>
      <c r="W25" s="61">
        <f>+контингент!AA25-бюджет!V25</f>
        <v>0</v>
      </c>
      <c r="X25" s="33">
        <f t="shared" si="5"/>
        <v>51</v>
      </c>
    </row>
    <row r="26" spans="1:24" ht="15">
      <c r="A26" s="60">
        <v>18</v>
      </c>
      <c r="B26" s="35" t="s">
        <v>40</v>
      </c>
      <c r="C26" s="136">
        <v>60230100</v>
      </c>
      <c r="D26" s="52" t="s">
        <v>67</v>
      </c>
      <c r="E26" s="61">
        <f>+контингент!E26-бюджет!D26</f>
        <v>0</v>
      </c>
      <c r="F26" s="61">
        <f>+контингент!F26-бюджет!E26</f>
        <v>41</v>
      </c>
      <c r="G26" s="61">
        <f>+контингент!G26-бюджет!F26</f>
        <v>0</v>
      </c>
      <c r="H26" s="61">
        <f>+контингент!I26-бюджет!G26</f>
        <v>41</v>
      </c>
      <c r="I26" s="61">
        <f>+контингент!J26-бюджет!H26</f>
        <v>0</v>
      </c>
      <c r="J26" s="61">
        <f>+контингент!K26-бюджет!I26</f>
        <v>53</v>
      </c>
      <c r="K26" s="61">
        <f>+контингент!L26-бюджет!J26</f>
        <v>0</v>
      </c>
      <c r="L26" s="61">
        <f>+контингент!N26-бюджет!K26</f>
        <v>53</v>
      </c>
      <c r="M26" s="61">
        <f>+контингент!O26-бюджет!L26</f>
        <v>0</v>
      </c>
      <c r="N26" s="61">
        <f>+контингент!P26-бюджет!M26</f>
        <v>123</v>
      </c>
      <c r="O26" s="61">
        <f>+контингент!Q26-бюджет!N26</f>
        <v>0</v>
      </c>
      <c r="P26" s="61">
        <f>+контингент!S26-бюджет!O26</f>
        <v>123</v>
      </c>
      <c r="Q26" s="61">
        <f>+контингент!T26-бюджет!P26</f>
        <v>0</v>
      </c>
      <c r="R26" s="61">
        <f>+контингент!U26-бюджет!Q26</f>
        <v>175</v>
      </c>
      <c r="S26" s="61">
        <f>+контингент!V26-бюджет!R26</f>
        <v>0</v>
      </c>
      <c r="T26" s="61">
        <f>+контингент!X26-бюджет!S26</f>
        <v>175</v>
      </c>
      <c r="U26" s="61">
        <f>+контингент!Y26-бюджет!T26</f>
        <v>0</v>
      </c>
      <c r="V26" s="61">
        <f>+контингент!Z26-бюджет!U26</f>
        <v>392</v>
      </c>
      <c r="W26" s="61">
        <f>+контингент!AA26-бюджет!V26</f>
        <v>0</v>
      </c>
      <c r="X26" s="33">
        <f t="shared" si="5"/>
        <v>392</v>
      </c>
    </row>
    <row r="27" spans="1:24" ht="15">
      <c r="A27" s="60">
        <v>19</v>
      </c>
      <c r="B27" s="35" t="s">
        <v>41</v>
      </c>
      <c r="C27" s="136">
        <v>60230100</v>
      </c>
      <c r="D27" s="52" t="s">
        <v>138</v>
      </c>
      <c r="E27" s="61">
        <f>+контингент!E27-бюджет!D27</f>
        <v>36</v>
      </c>
      <c r="F27" s="61">
        <f>+контингент!F27-бюджет!E27</f>
        <v>0</v>
      </c>
      <c r="G27" s="61">
        <f>+контингент!G27-бюджет!F27</f>
        <v>0</v>
      </c>
      <c r="H27" s="61">
        <f>+контингент!I27-бюджет!G27</f>
        <v>36</v>
      </c>
      <c r="I27" s="61">
        <f>+контингент!J27-бюджет!H27</f>
        <v>0</v>
      </c>
      <c r="J27" s="61">
        <f>+контингент!K27-бюджет!I27</f>
        <v>0</v>
      </c>
      <c r="K27" s="61">
        <f>+контингент!L27-бюджет!J27</f>
        <v>0</v>
      </c>
      <c r="L27" s="61">
        <f>+контингент!N27-бюджет!K27</f>
        <v>0</v>
      </c>
      <c r="M27" s="61">
        <f>+контингент!O27-бюджет!L27</f>
        <v>0</v>
      </c>
      <c r="N27" s="61">
        <f>+контингент!P27-бюджет!M27</f>
        <v>0</v>
      </c>
      <c r="O27" s="61">
        <f>+контингент!Q27-бюджет!N27</f>
        <v>0</v>
      </c>
      <c r="P27" s="61">
        <f>+контингент!S27-бюджет!O27</f>
        <v>0</v>
      </c>
      <c r="Q27" s="61">
        <f>+контингент!T27-бюджет!P27</f>
        <v>0</v>
      </c>
      <c r="R27" s="61">
        <f>+контингент!U27-бюджет!Q27</f>
        <v>0</v>
      </c>
      <c r="S27" s="61">
        <f>+контингент!V27-бюджет!R27</f>
        <v>0</v>
      </c>
      <c r="T27" s="61">
        <f>+контингент!X27-бюджет!S27</f>
        <v>0</v>
      </c>
      <c r="U27" s="61">
        <f>+контингент!Y27-бюджет!T27</f>
        <v>36</v>
      </c>
      <c r="V27" s="61">
        <f>+контингент!Z27-бюджет!U27</f>
        <v>0</v>
      </c>
      <c r="W27" s="61">
        <f>+контингент!AA27-бюджет!V27</f>
        <v>0</v>
      </c>
      <c r="X27" s="33">
        <f t="shared" si="5"/>
        <v>36</v>
      </c>
    </row>
    <row r="28" spans="1:24" ht="15">
      <c r="A28" s="60">
        <v>20</v>
      </c>
      <c r="B28" s="35" t="s">
        <v>76</v>
      </c>
      <c r="C28" s="136">
        <v>60111800</v>
      </c>
      <c r="D28" s="78" t="s">
        <v>79</v>
      </c>
      <c r="E28" s="61">
        <f>+контингент!E28-бюджет!D28</f>
        <v>0</v>
      </c>
      <c r="F28" s="61">
        <f>+контингент!F28-бюджет!E28</f>
        <v>0</v>
      </c>
      <c r="G28" s="61">
        <f>+контингент!G28-бюджет!F28</f>
        <v>0</v>
      </c>
      <c r="H28" s="61">
        <f>+контингент!I28-бюджет!G28</f>
        <v>0</v>
      </c>
      <c r="I28" s="61">
        <f>+контингент!J28-бюджет!H28</f>
        <v>0</v>
      </c>
      <c r="J28" s="61">
        <f>+контингент!K28-бюджет!I28</f>
        <v>0</v>
      </c>
      <c r="K28" s="61">
        <f>+контингент!L28-бюджет!J28</f>
        <v>0</v>
      </c>
      <c r="L28" s="61">
        <f>+контингент!N28-бюджет!K28</f>
        <v>0</v>
      </c>
      <c r="M28" s="61">
        <f>+контингент!O28-бюджет!L28</f>
        <v>0</v>
      </c>
      <c r="N28" s="61">
        <f>+контингент!P28-бюджет!M28</f>
        <v>0</v>
      </c>
      <c r="O28" s="61">
        <f>+контингент!Q28-бюджет!N28</f>
        <v>0</v>
      </c>
      <c r="P28" s="61">
        <f>+контингент!S28-бюджет!O28</f>
        <v>0</v>
      </c>
      <c r="Q28" s="61">
        <f>+контингент!T28-бюджет!P28</f>
        <v>90</v>
      </c>
      <c r="R28" s="61">
        <f>+контингент!U28-бюджет!Q28</f>
        <v>0</v>
      </c>
      <c r="S28" s="61">
        <f>+контингент!V28-бюджет!R28</f>
        <v>0</v>
      </c>
      <c r="T28" s="61">
        <f>+контингент!X28-бюджет!S28</f>
        <v>90</v>
      </c>
      <c r="U28" s="61">
        <f>+контингент!Y28-бюджет!T28</f>
        <v>90</v>
      </c>
      <c r="V28" s="61">
        <f>+контингент!Z28-бюджет!U28</f>
        <v>0</v>
      </c>
      <c r="W28" s="61">
        <f>+контингент!AA28-бюджет!V28</f>
        <v>0</v>
      </c>
      <c r="X28" s="33">
        <f t="shared" si="5"/>
        <v>90</v>
      </c>
    </row>
    <row r="29" spans="1:24" ht="15">
      <c r="A29" s="60">
        <v>21</v>
      </c>
      <c r="B29" s="35"/>
      <c r="C29" s="136">
        <v>60111700</v>
      </c>
      <c r="D29" s="93" t="s">
        <v>103</v>
      </c>
      <c r="E29" s="61">
        <f>+контингент!E29-бюджет!D29</f>
        <v>0</v>
      </c>
      <c r="F29" s="61">
        <f>+контингент!F29-бюджет!E29</f>
        <v>0</v>
      </c>
      <c r="G29" s="61">
        <f>+контингент!G29-бюджет!F29</f>
        <v>0</v>
      </c>
      <c r="H29" s="61">
        <f>+контингент!I29-бюджет!G29</f>
        <v>0</v>
      </c>
      <c r="I29" s="61">
        <f>+контингент!J29-бюджет!H29</f>
        <v>0</v>
      </c>
      <c r="J29" s="61">
        <f>+контингент!K29-бюджет!I29</f>
        <v>0</v>
      </c>
      <c r="K29" s="61">
        <f>+контингент!L29-бюджет!J29</f>
        <v>0</v>
      </c>
      <c r="L29" s="61">
        <f>+контингент!N29-бюджет!K29</f>
        <v>0</v>
      </c>
      <c r="M29" s="61">
        <f>+контингент!O29-бюджет!L29</f>
        <v>0</v>
      </c>
      <c r="N29" s="61">
        <f>+контингент!P29-бюджет!M29</f>
        <v>0</v>
      </c>
      <c r="O29" s="61">
        <f>+контингент!Q29-бюджет!N29</f>
        <v>0</v>
      </c>
      <c r="P29" s="61">
        <f>+контингент!S29-бюджет!O29</f>
        <v>0</v>
      </c>
      <c r="Q29" s="61">
        <f>+контингент!T29-бюджет!P29</f>
        <v>0</v>
      </c>
      <c r="R29" s="61">
        <f>+контингент!U29-бюджет!Q29</f>
        <v>206</v>
      </c>
      <c r="S29" s="61">
        <f>+контингент!V29-бюджет!R29</f>
        <v>0</v>
      </c>
      <c r="T29" s="61">
        <f>+контингент!X29-бюджет!S29</f>
        <v>206</v>
      </c>
      <c r="U29" s="61">
        <f>+контингент!Y29-бюджет!T29</f>
        <v>0</v>
      </c>
      <c r="V29" s="61">
        <f>+контингент!Z29-бюджет!U29</f>
        <v>206</v>
      </c>
      <c r="W29" s="61">
        <f>+контингент!AA29-бюджет!V29</f>
        <v>0</v>
      </c>
      <c r="X29" s="33">
        <f t="shared" si="5"/>
        <v>206</v>
      </c>
    </row>
    <row r="30" spans="1:24" s="122" customFormat="1" ht="14.25">
      <c r="A30" s="95">
        <v>5</v>
      </c>
      <c r="B30" s="116" t="s">
        <v>61</v>
      </c>
      <c r="C30" s="161"/>
      <c r="D30" s="189" t="s">
        <v>140</v>
      </c>
      <c r="E30" s="109">
        <f>E31+E32+E33+E34+E35+E36+E37</f>
        <v>156</v>
      </c>
      <c r="F30" s="109">
        <f aca="true" t="shared" si="6" ref="F30:X30">F31+F32+F33+F34+F35+F36+F37</f>
        <v>18</v>
      </c>
      <c r="G30" s="109">
        <f t="shared" si="6"/>
        <v>0</v>
      </c>
      <c r="H30" s="109">
        <f t="shared" si="6"/>
        <v>174</v>
      </c>
      <c r="I30" s="109">
        <f t="shared" si="6"/>
        <v>219</v>
      </c>
      <c r="J30" s="109">
        <f t="shared" si="6"/>
        <v>32</v>
      </c>
      <c r="K30" s="109">
        <f t="shared" si="6"/>
        <v>0</v>
      </c>
      <c r="L30" s="109">
        <f t="shared" si="6"/>
        <v>251</v>
      </c>
      <c r="M30" s="109">
        <f t="shared" si="6"/>
        <v>271</v>
      </c>
      <c r="N30" s="109">
        <f t="shared" si="6"/>
        <v>48</v>
      </c>
      <c r="O30" s="109">
        <f t="shared" si="6"/>
        <v>0</v>
      </c>
      <c r="P30" s="109">
        <f t="shared" si="6"/>
        <v>319</v>
      </c>
      <c r="Q30" s="109">
        <f t="shared" si="6"/>
        <v>496</v>
      </c>
      <c r="R30" s="109">
        <f t="shared" si="6"/>
        <v>59</v>
      </c>
      <c r="S30" s="109">
        <f t="shared" si="6"/>
        <v>27</v>
      </c>
      <c r="T30" s="109">
        <f t="shared" si="6"/>
        <v>582</v>
      </c>
      <c r="U30" s="109">
        <f t="shared" si="6"/>
        <v>1142</v>
      </c>
      <c r="V30" s="109">
        <f t="shared" si="6"/>
        <v>157</v>
      </c>
      <c r="W30" s="109">
        <f t="shared" si="6"/>
        <v>27</v>
      </c>
      <c r="X30" s="109">
        <f t="shared" si="6"/>
        <v>1326</v>
      </c>
    </row>
    <row r="31" spans="1:24" ht="15">
      <c r="A31" s="60">
        <v>22</v>
      </c>
      <c r="B31" s="35" t="s">
        <v>16</v>
      </c>
      <c r="C31" s="136">
        <v>60510100</v>
      </c>
      <c r="D31" s="69" t="s">
        <v>53</v>
      </c>
      <c r="E31" s="61">
        <f>+контингент!E31-бюджет!D31</f>
        <v>68</v>
      </c>
      <c r="F31" s="61">
        <f>+контингент!F31-бюджет!E31</f>
        <v>12</v>
      </c>
      <c r="G31" s="61">
        <f>+контингент!G31-бюджет!F31</f>
        <v>0</v>
      </c>
      <c r="H31" s="61">
        <f>+контингент!I31-бюджет!G31</f>
        <v>80</v>
      </c>
      <c r="I31" s="61">
        <f>+контингент!J31-бюджет!H31</f>
        <v>117</v>
      </c>
      <c r="J31" s="61">
        <f>+контингент!K31-бюджет!I31</f>
        <v>24</v>
      </c>
      <c r="K31" s="61">
        <f>+контингент!L31-бюджет!J31</f>
        <v>0</v>
      </c>
      <c r="L31" s="61">
        <f>+контингент!N31-бюджет!K31</f>
        <v>141</v>
      </c>
      <c r="M31" s="61">
        <f>+контингент!O31-бюджет!L31</f>
        <v>121</v>
      </c>
      <c r="N31" s="61">
        <f>+контингент!P31-бюджет!M31</f>
        <v>16</v>
      </c>
      <c r="O31" s="61">
        <f>+контингент!Q31-бюджет!N31</f>
        <v>0</v>
      </c>
      <c r="P31" s="61">
        <f>+контингент!S31-бюджет!O31</f>
        <v>137</v>
      </c>
      <c r="Q31" s="61">
        <f>+контингент!T31-бюджет!P31</f>
        <v>142</v>
      </c>
      <c r="R31" s="61">
        <f>+контингент!U31-бюджет!Q31</f>
        <v>27</v>
      </c>
      <c r="S31" s="61">
        <f>+контингент!V31-бюджет!R31</f>
        <v>0</v>
      </c>
      <c r="T31" s="61">
        <f>+контингент!X31-бюджет!S31</f>
        <v>169</v>
      </c>
      <c r="U31" s="61">
        <f>+контингент!Y31-бюджет!T31</f>
        <v>448</v>
      </c>
      <c r="V31" s="61">
        <f>+контингент!Z31-бюджет!U31</f>
        <v>79</v>
      </c>
      <c r="W31" s="61">
        <f>+контингент!AA31-бюджет!V31</f>
        <v>0</v>
      </c>
      <c r="X31" s="33">
        <f aca="true" t="shared" si="7" ref="X31:X37">U31+V31+W31</f>
        <v>527</v>
      </c>
    </row>
    <row r="32" spans="1:24" ht="15">
      <c r="A32" s="60">
        <v>23</v>
      </c>
      <c r="B32" s="31" t="s">
        <v>52</v>
      </c>
      <c r="C32" s="136">
        <v>60710200</v>
      </c>
      <c r="D32" s="52" t="s">
        <v>55</v>
      </c>
      <c r="E32" s="61">
        <f>+контингент!E32-бюджет!D32</f>
        <v>26</v>
      </c>
      <c r="F32" s="61">
        <f>+контингент!F32-бюджет!E32</f>
        <v>0</v>
      </c>
      <c r="G32" s="61">
        <f>+контингент!G32-бюджет!F32</f>
        <v>0</v>
      </c>
      <c r="H32" s="61">
        <f>+контингент!I32-бюджет!G32</f>
        <v>26</v>
      </c>
      <c r="I32" s="61">
        <f>+контингент!J32-бюджет!H32</f>
        <v>34</v>
      </c>
      <c r="J32" s="61">
        <f>+контингент!K32-бюджет!I32</f>
        <v>0</v>
      </c>
      <c r="K32" s="61">
        <f>+контингент!L32-бюджет!J32</f>
        <v>0</v>
      </c>
      <c r="L32" s="61">
        <f>+контингент!N32-бюджет!K32</f>
        <v>34</v>
      </c>
      <c r="M32" s="61">
        <f>+контингент!O32-бюджет!L32</f>
        <v>43</v>
      </c>
      <c r="N32" s="61">
        <f>+контингент!P32-бюджет!M32</f>
        <v>0</v>
      </c>
      <c r="O32" s="61">
        <f>+контингент!Q32-бюджет!N32</f>
        <v>0</v>
      </c>
      <c r="P32" s="61">
        <f>+контингент!S32-бюджет!O32</f>
        <v>43</v>
      </c>
      <c r="Q32" s="61">
        <f>+контингент!T32-бюджет!P32</f>
        <v>60</v>
      </c>
      <c r="R32" s="61">
        <f>+контингент!U32-бюджет!Q32</f>
        <v>0</v>
      </c>
      <c r="S32" s="61">
        <f>+контингент!V32-бюджет!R32</f>
        <v>0</v>
      </c>
      <c r="T32" s="61">
        <f>+контингент!X32-бюджет!S32</f>
        <v>60</v>
      </c>
      <c r="U32" s="61">
        <f>+контингент!Y32-бюджет!T32</f>
        <v>163</v>
      </c>
      <c r="V32" s="61">
        <f>+контингент!Z32-бюджет!U32</f>
        <v>0</v>
      </c>
      <c r="W32" s="61">
        <f>+контингент!AA32-бюджет!V32</f>
        <v>0</v>
      </c>
      <c r="X32" s="33">
        <f t="shared" si="7"/>
        <v>163</v>
      </c>
    </row>
    <row r="33" spans="1:24" ht="15">
      <c r="A33" s="60">
        <v>24</v>
      </c>
      <c r="B33" s="31"/>
      <c r="C33" s="163">
        <v>60110900</v>
      </c>
      <c r="D33" s="93" t="s">
        <v>16</v>
      </c>
      <c r="E33" s="61">
        <f>+контингент!E33-бюджет!D33</f>
        <v>0</v>
      </c>
      <c r="F33" s="61">
        <f>+контингент!F33-бюджет!E33</f>
        <v>0</v>
      </c>
      <c r="G33" s="61">
        <f>+контингент!G33-бюджет!F33</f>
        <v>0</v>
      </c>
      <c r="H33" s="61">
        <f>+контингент!I33-бюджет!G33</f>
        <v>0</v>
      </c>
      <c r="I33" s="61">
        <f>+контингент!J33-бюджет!H33</f>
        <v>0</v>
      </c>
      <c r="J33" s="61">
        <f>+контингент!K33-бюджет!I33</f>
        <v>0</v>
      </c>
      <c r="K33" s="61">
        <f>+контингент!L33-бюджет!J33</f>
        <v>0</v>
      </c>
      <c r="L33" s="61">
        <f>+контингент!N33-бюджет!K33</f>
        <v>0</v>
      </c>
      <c r="M33" s="61">
        <f>+контингент!O33-бюджет!L33</f>
        <v>0</v>
      </c>
      <c r="N33" s="61">
        <f>+контингент!P33-бюджет!M33</f>
        <v>0</v>
      </c>
      <c r="O33" s="61">
        <f>+контингент!Q33-бюджет!N33</f>
        <v>0</v>
      </c>
      <c r="P33" s="61">
        <f>+контингент!S33-бюджет!O33</f>
        <v>0</v>
      </c>
      <c r="Q33" s="61">
        <f>+контингент!T33-бюджет!P33</f>
        <v>99</v>
      </c>
      <c r="R33" s="61">
        <f>+контингент!U33-бюджет!Q33</f>
        <v>15</v>
      </c>
      <c r="S33" s="61">
        <f>+контингент!V33-бюджет!R33</f>
        <v>18</v>
      </c>
      <c r="T33" s="61">
        <f>+контингент!X33-бюджет!S33</f>
        <v>132</v>
      </c>
      <c r="U33" s="61">
        <f>+контингент!Y33-бюджет!T33</f>
        <v>99</v>
      </c>
      <c r="V33" s="61">
        <f>+контингент!Z33-бюджет!U33</f>
        <v>15</v>
      </c>
      <c r="W33" s="61">
        <f>+контингент!AA33-бюджет!V33</f>
        <v>18</v>
      </c>
      <c r="X33" s="33">
        <f t="shared" si="7"/>
        <v>132</v>
      </c>
    </row>
    <row r="34" spans="1:24" ht="15">
      <c r="A34" s="60">
        <v>25</v>
      </c>
      <c r="B34" s="35" t="s">
        <v>21</v>
      </c>
      <c r="C34" s="136">
        <v>60530100</v>
      </c>
      <c r="D34" s="52" t="s">
        <v>116</v>
      </c>
      <c r="E34" s="61">
        <f>+контингент!E34-бюджет!D34</f>
        <v>33</v>
      </c>
      <c r="F34" s="61">
        <f>+контингент!F34-бюджет!E34</f>
        <v>6</v>
      </c>
      <c r="G34" s="61">
        <f>+контингент!G34-бюджет!F34</f>
        <v>0</v>
      </c>
      <c r="H34" s="61">
        <f>+контингент!I34-бюджет!G34</f>
        <v>39</v>
      </c>
      <c r="I34" s="61">
        <f>+контингент!J34-бюджет!H34</f>
        <v>32</v>
      </c>
      <c r="J34" s="61">
        <f>+контингент!K34-бюджет!I34</f>
        <v>8</v>
      </c>
      <c r="K34" s="61">
        <f>+контингент!L34-бюджет!J34</f>
        <v>0</v>
      </c>
      <c r="L34" s="61">
        <f>+контингент!N34-бюджет!K34</f>
        <v>40</v>
      </c>
      <c r="M34" s="61">
        <f>+контингент!O34-бюджет!L34</f>
        <v>59</v>
      </c>
      <c r="N34" s="61">
        <f>+контингент!P34-бюджет!M34</f>
        <v>12</v>
      </c>
      <c r="O34" s="61">
        <f>+контингент!Q34-бюджет!N34</f>
        <v>0</v>
      </c>
      <c r="P34" s="61">
        <f>+контингент!S34-бюджет!O34</f>
        <v>71</v>
      </c>
      <c r="Q34" s="61">
        <f>+контингент!T34-бюджет!P34</f>
        <v>72</v>
      </c>
      <c r="R34" s="61">
        <f>+контингент!U34-бюджет!Q34</f>
        <v>0</v>
      </c>
      <c r="S34" s="61">
        <f>+контингент!V34-бюджет!R34</f>
        <v>0</v>
      </c>
      <c r="T34" s="61">
        <f>+контингент!X34-бюджет!S34</f>
        <v>72</v>
      </c>
      <c r="U34" s="61">
        <f>+контингент!Y34-бюджет!T34</f>
        <v>196</v>
      </c>
      <c r="V34" s="61">
        <f>+контингент!Z34-бюджет!U34</f>
        <v>26</v>
      </c>
      <c r="W34" s="61">
        <f>+контингент!AA34-бюджет!V34</f>
        <v>0</v>
      </c>
      <c r="X34" s="33">
        <f t="shared" si="7"/>
        <v>222</v>
      </c>
    </row>
    <row r="35" spans="1:24" ht="15">
      <c r="A35" s="60">
        <v>26</v>
      </c>
      <c r="B35" s="31" t="s">
        <v>51</v>
      </c>
      <c r="C35" s="136">
        <v>60710100</v>
      </c>
      <c r="D35" s="52" t="s">
        <v>70</v>
      </c>
      <c r="E35" s="61">
        <f>+контингент!E35-бюджет!D35</f>
        <v>29</v>
      </c>
      <c r="F35" s="61">
        <f>+контингент!F35-бюджет!E35</f>
        <v>0</v>
      </c>
      <c r="G35" s="61">
        <f>+контингент!G35-бюджет!F35</f>
        <v>0</v>
      </c>
      <c r="H35" s="61">
        <f>+контингент!I35-бюджет!G35</f>
        <v>29</v>
      </c>
      <c r="I35" s="61">
        <f>+контингент!J35-бюджет!H35</f>
        <v>28</v>
      </c>
      <c r="J35" s="61">
        <f>+контингент!K35-бюджет!I35</f>
        <v>0</v>
      </c>
      <c r="K35" s="61">
        <f>+контингент!L35-бюджет!J35</f>
        <v>0</v>
      </c>
      <c r="L35" s="61">
        <f>+контингент!N35-бюджет!K35</f>
        <v>28</v>
      </c>
      <c r="M35" s="61">
        <f>+контингент!O35-бюджет!L35</f>
        <v>48</v>
      </c>
      <c r="N35" s="61">
        <f>+контингент!P35-бюджет!M35</f>
        <v>20</v>
      </c>
      <c r="O35" s="61">
        <f>+контингент!Q35-бюджет!N35</f>
        <v>0</v>
      </c>
      <c r="P35" s="61">
        <f>+контингент!S35-бюджет!O35</f>
        <v>68</v>
      </c>
      <c r="Q35" s="61">
        <f>+контингент!T35-бюджет!P35</f>
        <v>79</v>
      </c>
      <c r="R35" s="61">
        <f>+контингент!U35-бюджет!Q35</f>
        <v>8</v>
      </c>
      <c r="S35" s="61">
        <f>+контингент!V35-бюджет!R35</f>
        <v>0</v>
      </c>
      <c r="T35" s="61">
        <f>+контингент!X35-бюджет!S35</f>
        <v>87</v>
      </c>
      <c r="U35" s="61">
        <f>+контингент!Y35-бюджет!T35</f>
        <v>184</v>
      </c>
      <c r="V35" s="61">
        <f>+контингент!Z35-бюджет!U35</f>
        <v>28</v>
      </c>
      <c r="W35" s="61">
        <f>+контингент!AA35-бюджет!V35</f>
        <v>0</v>
      </c>
      <c r="X35" s="33">
        <f t="shared" si="7"/>
        <v>212</v>
      </c>
    </row>
    <row r="36" spans="1:24" s="27" customFormat="1" ht="22.5">
      <c r="A36" s="60">
        <v>27</v>
      </c>
      <c r="B36" s="41" t="s">
        <v>57</v>
      </c>
      <c r="C36" s="136">
        <v>60720600</v>
      </c>
      <c r="D36" s="52" t="s">
        <v>69</v>
      </c>
      <c r="E36" s="61">
        <f>+контингент!E36-бюджет!D36</f>
        <v>0</v>
      </c>
      <c r="F36" s="61">
        <f>+контингент!F36-бюджет!E36</f>
        <v>0</v>
      </c>
      <c r="G36" s="61">
        <f>+контингент!G36-бюджет!F36</f>
        <v>0</v>
      </c>
      <c r="H36" s="61">
        <f>+контингент!I36-бюджет!G36</f>
        <v>0</v>
      </c>
      <c r="I36" s="61">
        <f>+контингент!J36-бюджет!H36</f>
        <v>8</v>
      </c>
      <c r="J36" s="61">
        <f>+контингент!K36-бюджет!I36</f>
        <v>0</v>
      </c>
      <c r="K36" s="61">
        <f>+контингент!L36-бюджет!J36</f>
        <v>0</v>
      </c>
      <c r="L36" s="61">
        <f>+контингент!N36-бюджет!K36</f>
        <v>8</v>
      </c>
      <c r="M36" s="61">
        <f>+контингент!O36-бюджет!L36</f>
        <v>0</v>
      </c>
      <c r="N36" s="61">
        <f>+контингент!P36-бюджет!M36</f>
        <v>0</v>
      </c>
      <c r="O36" s="61">
        <f>+контингент!Q36-бюджет!N36</f>
        <v>0</v>
      </c>
      <c r="P36" s="61">
        <f>+контингент!S36-бюджет!O36</f>
        <v>0</v>
      </c>
      <c r="Q36" s="61">
        <f>+контингент!T36-бюджет!P36</f>
        <v>0</v>
      </c>
      <c r="R36" s="61">
        <f>+контингент!U36-бюджет!Q36</f>
        <v>0</v>
      </c>
      <c r="S36" s="61">
        <f>+контингент!V36-бюджет!R36</f>
        <v>0</v>
      </c>
      <c r="T36" s="61">
        <f>+контингент!X36-бюджет!S36</f>
        <v>0</v>
      </c>
      <c r="U36" s="61">
        <f>+контингент!Y36-бюджет!T36</f>
        <v>8</v>
      </c>
      <c r="V36" s="61">
        <f>+контингент!Z36-бюджет!U36</f>
        <v>0</v>
      </c>
      <c r="W36" s="61">
        <f>+контингент!AA36-бюджет!V36</f>
        <v>0</v>
      </c>
      <c r="X36" s="14">
        <f t="shared" si="7"/>
        <v>8</v>
      </c>
    </row>
    <row r="37" spans="1:24" s="27" customFormat="1" ht="15">
      <c r="A37" s="60">
        <v>28</v>
      </c>
      <c r="B37" s="41"/>
      <c r="C37" s="163">
        <v>60110800</v>
      </c>
      <c r="D37" s="78" t="s">
        <v>21</v>
      </c>
      <c r="E37" s="61">
        <f>+контингент!E37-бюджет!D37</f>
        <v>0</v>
      </c>
      <c r="F37" s="61">
        <f>+контингент!F37-бюджет!E37</f>
        <v>0</v>
      </c>
      <c r="G37" s="61">
        <f>+контингент!G37-бюджет!F37</f>
        <v>0</v>
      </c>
      <c r="H37" s="61">
        <f>+контингент!I37-бюджет!G37</f>
        <v>0</v>
      </c>
      <c r="I37" s="61">
        <f>+контингент!J37-бюджет!H37</f>
        <v>0</v>
      </c>
      <c r="J37" s="61">
        <f>+контингент!K37-бюджет!I37</f>
        <v>0</v>
      </c>
      <c r="K37" s="61">
        <f>+контингент!L37-бюджет!J37</f>
        <v>0</v>
      </c>
      <c r="L37" s="61">
        <f>+контингент!N37-бюджет!K37</f>
        <v>0</v>
      </c>
      <c r="M37" s="61">
        <f>+контингент!O37-бюджет!L37</f>
        <v>0</v>
      </c>
      <c r="N37" s="61">
        <f>+контингент!P37-бюджет!M37</f>
        <v>0</v>
      </c>
      <c r="O37" s="61">
        <f>+контингент!Q37-бюджет!N37</f>
        <v>0</v>
      </c>
      <c r="P37" s="61">
        <f>+контингент!S37-бюджет!O37</f>
        <v>0</v>
      </c>
      <c r="Q37" s="61">
        <f>+контингент!T37-бюджет!P37</f>
        <v>44</v>
      </c>
      <c r="R37" s="61">
        <f>+контингент!U37-бюджет!Q37</f>
        <v>9</v>
      </c>
      <c r="S37" s="61">
        <f>+контингент!V37-бюджет!R37</f>
        <v>9</v>
      </c>
      <c r="T37" s="61">
        <f>+контингент!X37-бюджет!S37</f>
        <v>62</v>
      </c>
      <c r="U37" s="61">
        <f>+контингент!Y37-бюджет!T37</f>
        <v>44</v>
      </c>
      <c r="V37" s="61">
        <f>+контингент!Z37-бюджет!U37</f>
        <v>9</v>
      </c>
      <c r="W37" s="61">
        <f>+контингент!AA37-бюджет!V37</f>
        <v>9</v>
      </c>
      <c r="X37" s="14">
        <f t="shared" si="7"/>
        <v>62</v>
      </c>
    </row>
    <row r="38" spans="1:24" s="122" customFormat="1" ht="14.25">
      <c r="A38" s="95">
        <v>6</v>
      </c>
      <c r="B38" s="123" t="s">
        <v>50</v>
      </c>
      <c r="C38" s="161"/>
      <c r="D38" s="149" t="s">
        <v>50</v>
      </c>
      <c r="E38" s="127">
        <f>E39+E40+E41+E42+E43</f>
        <v>66</v>
      </c>
      <c r="F38" s="127">
        <f aca="true" t="shared" si="8" ref="F38:X38">F39+F40+F41+F42+F43</f>
        <v>0</v>
      </c>
      <c r="G38" s="127">
        <f t="shared" si="8"/>
        <v>0</v>
      </c>
      <c r="H38" s="127">
        <f t="shared" si="8"/>
        <v>66</v>
      </c>
      <c r="I38" s="127">
        <f t="shared" si="8"/>
        <v>95</v>
      </c>
      <c r="J38" s="127">
        <f t="shared" si="8"/>
        <v>0</v>
      </c>
      <c r="K38" s="127">
        <f t="shared" si="8"/>
        <v>0</v>
      </c>
      <c r="L38" s="127">
        <f t="shared" si="8"/>
        <v>95</v>
      </c>
      <c r="M38" s="127">
        <f t="shared" si="8"/>
        <v>87</v>
      </c>
      <c r="N38" s="127">
        <f t="shared" si="8"/>
        <v>32</v>
      </c>
      <c r="O38" s="127">
        <f t="shared" si="8"/>
        <v>0</v>
      </c>
      <c r="P38" s="127">
        <f t="shared" si="8"/>
        <v>119</v>
      </c>
      <c r="Q38" s="127">
        <f t="shared" si="8"/>
        <v>179</v>
      </c>
      <c r="R38" s="127">
        <f t="shared" si="8"/>
        <v>17</v>
      </c>
      <c r="S38" s="127">
        <f t="shared" si="8"/>
        <v>0</v>
      </c>
      <c r="T38" s="127">
        <f t="shared" si="8"/>
        <v>196</v>
      </c>
      <c r="U38" s="127">
        <f t="shared" si="8"/>
        <v>427</v>
      </c>
      <c r="V38" s="127">
        <f t="shared" si="8"/>
        <v>49</v>
      </c>
      <c r="W38" s="127">
        <f t="shared" si="8"/>
        <v>0</v>
      </c>
      <c r="X38" s="127">
        <f t="shared" si="8"/>
        <v>476</v>
      </c>
    </row>
    <row r="39" spans="1:24" ht="22.5">
      <c r="A39" s="60">
        <v>29</v>
      </c>
      <c r="B39" s="37" t="s">
        <v>45</v>
      </c>
      <c r="C39" s="136">
        <v>60710400</v>
      </c>
      <c r="D39" s="52" t="s">
        <v>71</v>
      </c>
      <c r="E39" s="61">
        <f>+контингент!E39-бюджет!D39</f>
        <v>15</v>
      </c>
      <c r="F39" s="61">
        <f>+контингент!F39-бюджет!E39</f>
        <v>0</v>
      </c>
      <c r="G39" s="61">
        <f>+контингент!G39-бюджет!F39</f>
        <v>0</v>
      </c>
      <c r="H39" s="61">
        <f>+контингент!I39-бюджет!G39</f>
        <v>15</v>
      </c>
      <c r="I39" s="61">
        <f>+контингент!J39-бюджет!H39</f>
        <v>19</v>
      </c>
      <c r="J39" s="61">
        <f>+контингент!K39-бюджет!I39</f>
        <v>0</v>
      </c>
      <c r="K39" s="61">
        <f>+контингент!L39-бюджет!J39</f>
        <v>0</v>
      </c>
      <c r="L39" s="61">
        <f>+контингент!N39-бюджет!K39</f>
        <v>19</v>
      </c>
      <c r="M39" s="61">
        <f>+контингент!O39-бюджет!L39</f>
        <v>32</v>
      </c>
      <c r="N39" s="61">
        <f>+контингент!P39-бюджет!M39</f>
        <v>0</v>
      </c>
      <c r="O39" s="61">
        <f>+контингент!Q39-бюджет!N39</f>
        <v>0</v>
      </c>
      <c r="P39" s="61">
        <f>+контингент!S39-бюджет!O39</f>
        <v>32</v>
      </c>
      <c r="Q39" s="61">
        <f>+контингент!T39-бюджет!P39</f>
        <v>56</v>
      </c>
      <c r="R39" s="61">
        <f>+контингент!U39-бюджет!Q39</f>
        <v>0</v>
      </c>
      <c r="S39" s="61">
        <f>+контингент!V39-бюджет!R39</f>
        <v>0</v>
      </c>
      <c r="T39" s="61">
        <f>+контингент!X39-бюджет!S39</f>
        <v>56</v>
      </c>
      <c r="U39" s="61">
        <f>+контингент!Y39-бюджет!T39</f>
        <v>122</v>
      </c>
      <c r="V39" s="61">
        <f>+контингент!Z39-бюджет!U39</f>
        <v>0</v>
      </c>
      <c r="W39" s="61">
        <f>+контингент!AA39-бюджет!V39</f>
        <v>0</v>
      </c>
      <c r="X39" s="34">
        <f>U39+V39+W39</f>
        <v>122</v>
      </c>
    </row>
    <row r="40" spans="1:24" ht="15">
      <c r="A40" s="60">
        <v>30</v>
      </c>
      <c r="B40" s="35" t="s">
        <v>19</v>
      </c>
      <c r="C40" s="136">
        <v>60530400</v>
      </c>
      <c r="D40" s="69" t="s">
        <v>19</v>
      </c>
      <c r="E40" s="61">
        <f>+контингент!E40-бюджет!D40</f>
        <v>32</v>
      </c>
      <c r="F40" s="61">
        <f>+контингент!F40-бюджет!E40</f>
        <v>0</v>
      </c>
      <c r="G40" s="61">
        <f>+контингент!G40-бюджет!F40</f>
        <v>0</v>
      </c>
      <c r="H40" s="61">
        <f>+контингент!I40-бюджет!G40</f>
        <v>32</v>
      </c>
      <c r="I40" s="61">
        <f>+контингент!J40-бюджет!H40</f>
        <v>46</v>
      </c>
      <c r="J40" s="61">
        <f>+контингент!K40-бюджет!I40</f>
        <v>0</v>
      </c>
      <c r="K40" s="61">
        <f>+контингент!L40-бюджет!J40</f>
        <v>0</v>
      </c>
      <c r="L40" s="61">
        <f>+контингент!N40-бюджет!K40</f>
        <v>46</v>
      </c>
      <c r="M40" s="61">
        <f>+контингент!O40-бюджет!L40</f>
        <v>36</v>
      </c>
      <c r="N40" s="61">
        <f>+контингент!P40-бюджет!M40</f>
        <v>12</v>
      </c>
      <c r="O40" s="61">
        <f>+контингент!Q40-бюджет!N40</f>
        <v>0</v>
      </c>
      <c r="P40" s="61">
        <f>+контингент!S40-бюджет!O40</f>
        <v>48</v>
      </c>
      <c r="Q40" s="61">
        <f>+контингент!T40-бюджет!P40</f>
        <v>68</v>
      </c>
      <c r="R40" s="61">
        <f>+контингент!U40-бюджет!Q40</f>
        <v>0</v>
      </c>
      <c r="S40" s="61">
        <f>+контингент!V40-бюджет!R40</f>
        <v>0</v>
      </c>
      <c r="T40" s="61">
        <f>+контингент!X40-бюджет!S40</f>
        <v>68</v>
      </c>
      <c r="U40" s="61">
        <f>+контингент!Y40-бюджет!T40</f>
        <v>182</v>
      </c>
      <c r="V40" s="61">
        <f>+контингент!Z40-бюджет!U40</f>
        <v>12</v>
      </c>
      <c r="W40" s="61">
        <f>+контингент!AA40-бюджет!V40</f>
        <v>0</v>
      </c>
      <c r="X40" s="33">
        <f>U40+V40+W40</f>
        <v>194</v>
      </c>
    </row>
    <row r="41" spans="1:24" ht="15">
      <c r="A41" s="60">
        <v>31</v>
      </c>
      <c r="B41" s="35" t="s">
        <v>46</v>
      </c>
      <c r="C41" s="136">
        <v>60520100</v>
      </c>
      <c r="D41" s="69" t="s">
        <v>46</v>
      </c>
      <c r="E41" s="61">
        <f>+контингент!E41-бюджет!D41</f>
        <v>0</v>
      </c>
      <c r="F41" s="61">
        <f>+контингент!F41-бюджет!E41</f>
        <v>0</v>
      </c>
      <c r="G41" s="61">
        <f>+контингент!G41-бюджет!F41</f>
        <v>0</v>
      </c>
      <c r="H41" s="61">
        <f>+контингент!I41-бюджет!G41</f>
        <v>0</v>
      </c>
      <c r="I41" s="61">
        <f>+контингент!J41-бюджет!H41</f>
        <v>13</v>
      </c>
      <c r="J41" s="61">
        <f>+контингент!K41-бюджет!I41</f>
        <v>0</v>
      </c>
      <c r="K41" s="61">
        <f>+контингент!L41-бюджет!J41</f>
        <v>0</v>
      </c>
      <c r="L41" s="61">
        <f>+контингент!N41-бюджет!K41</f>
        <v>13</v>
      </c>
      <c r="M41" s="61">
        <f>+контингент!O41-бюджет!L41</f>
        <v>0</v>
      </c>
      <c r="N41" s="61">
        <f>+контингент!P41-бюджет!M41</f>
        <v>0</v>
      </c>
      <c r="O41" s="61">
        <f>+контингент!Q41-бюджет!N41</f>
        <v>0</v>
      </c>
      <c r="P41" s="61">
        <f>+контингент!S41-бюджет!O41</f>
        <v>0</v>
      </c>
      <c r="Q41" s="61">
        <f>+контингент!T41-бюджет!P41</f>
        <v>0</v>
      </c>
      <c r="R41" s="61">
        <f>+контингент!U41-бюджет!Q41</f>
        <v>0</v>
      </c>
      <c r="S41" s="61">
        <f>+контингент!V41-бюджет!R41</f>
        <v>0</v>
      </c>
      <c r="T41" s="61">
        <f>+контингент!X41-бюджет!S41</f>
        <v>0</v>
      </c>
      <c r="U41" s="61">
        <f>+контингент!Y41-бюджет!T41</f>
        <v>13</v>
      </c>
      <c r="V41" s="61">
        <f>+контингент!Z41-бюджет!U41</f>
        <v>0</v>
      </c>
      <c r="W41" s="61">
        <f>+контингент!AA41-бюджет!V41</f>
        <v>0</v>
      </c>
      <c r="X41" s="33">
        <f>U41+V41+W41</f>
        <v>13</v>
      </c>
    </row>
    <row r="42" spans="1:24" ht="15">
      <c r="A42" s="60">
        <v>32</v>
      </c>
      <c r="B42" s="35"/>
      <c r="C42" s="163">
        <v>60111000</v>
      </c>
      <c r="D42" s="93" t="s">
        <v>104</v>
      </c>
      <c r="E42" s="61">
        <f>+контингент!E42-бюджет!D42</f>
        <v>0</v>
      </c>
      <c r="F42" s="61">
        <f>+контингент!F42-бюджет!E42</f>
        <v>0</v>
      </c>
      <c r="G42" s="61">
        <f>+контингент!G42-бюджет!F42</f>
        <v>0</v>
      </c>
      <c r="H42" s="61">
        <f>+контингент!I42-бюджет!G42</f>
        <v>0</v>
      </c>
      <c r="I42" s="61">
        <f>+контингент!J42-бюджет!H42</f>
        <v>0</v>
      </c>
      <c r="J42" s="61">
        <f>+контингент!K42-бюджет!I42</f>
        <v>0</v>
      </c>
      <c r="K42" s="61">
        <f>+контингент!L42-бюджет!J42</f>
        <v>0</v>
      </c>
      <c r="L42" s="61">
        <f>+контингент!N42-бюджет!K42</f>
        <v>0</v>
      </c>
      <c r="M42" s="61">
        <f>+контингент!O42-бюджет!L42</f>
        <v>0</v>
      </c>
      <c r="N42" s="61">
        <f>+контингент!P42-бюджет!M42</f>
        <v>0</v>
      </c>
      <c r="O42" s="61">
        <f>+контингент!Q42-бюджет!N42</f>
        <v>0</v>
      </c>
      <c r="P42" s="61">
        <f>+контингент!S42-бюджет!O42</f>
        <v>0</v>
      </c>
      <c r="Q42" s="61">
        <f>+контингент!T42-бюджет!P42</f>
        <v>31</v>
      </c>
      <c r="R42" s="61">
        <f>+контингент!U42-бюджет!Q42</f>
        <v>9</v>
      </c>
      <c r="S42" s="61">
        <f>+контингент!V42-бюджет!R42</f>
        <v>0</v>
      </c>
      <c r="T42" s="61">
        <f>+контингент!X42-бюджет!S42</f>
        <v>40</v>
      </c>
      <c r="U42" s="61">
        <f>+контингент!Y42-бюджет!T42</f>
        <v>31</v>
      </c>
      <c r="V42" s="61">
        <f>+контингент!Z42-бюджет!U42</f>
        <v>9</v>
      </c>
      <c r="W42" s="61">
        <f>+контингент!AA42-бюджет!V42</f>
        <v>0</v>
      </c>
      <c r="X42" s="33">
        <f>U42+V42+W42</f>
        <v>40</v>
      </c>
    </row>
    <row r="43" spans="1:24" ht="15">
      <c r="A43" s="60">
        <v>33</v>
      </c>
      <c r="B43" s="35"/>
      <c r="C43" s="136">
        <v>60530500</v>
      </c>
      <c r="D43" s="93" t="s">
        <v>105</v>
      </c>
      <c r="E43" s="61">
        <f>+контингент!E43-бюджет!D43</f>
        <v>19</v>
      </c>
      <c r="F43" s="61">
        <f>+контингент!F43-бюджет!E43</f>
        <v>0</v>
      </c>
      <c r="G43" s="61">
        <f>+контингент!G43-бюджет!F43</f>
        <v>0</v>
      </c>
      <c r="H43" s="61">
        <f>+контингент!I43-бюджет!G43</f>
        <v>19</v>
      </c>
      <c r="I43" s="61">
        <f>+контингент!J43-бюджет!H43</f>
        <v>17</v>
      </c>
      <c r="J43" s="61">
        <f>+контингент!K43-бюджет!I43</f>
        <v>0</v>
      </c>
      <c r="K43" s="61">
        <f>+контингент!L43-бюджет!J43</f>
        <v>0</v>
      </c>
      <c r="L43" s="61">
        <f>+контингент!N43-бюджет!K43</f>
        <v>17</v>
      </c>
      <c r="M43" s="61">
        <f>+контингент!O43-бюджет!L43</f>
        <v>19</v>
      </c>
      <c r="N43" s="61">
        <f>+контингент!P43-бюджет!M43</f>
        <v>20</v>
      </c>
      <c r="O43" s="61">
        <f>+контингент!Q43-бюджет!N43</f>
        <v>0</v>
      </c>
      <c r="P43" s="61">
        <f>+контингент!S43-бюджет!O43</f>
        <v>39</v>
      </c>
      <c r="Q43" s="61">
        <f>+контингент!T43-бюджет!P43</f>
        <v>24</v>
      </c>
      <c r="R43" s="61">
        <f>+контингент!U43-бюджет!Q43</f>
        <v>8</v>
      </c>
      <c r="S43" s="61">
        <f>+контингент!V43-бюджет!R43</f>
        <v>0</v>
      </c>
      <c r="T43" s="61">
        <f>+контингент!X43-бюджет!S43</f>
        <v>32</v>
      </c>
      <c r="U43" s="61">
        <f>+контингент!Y43-бюджет!T43</f>
        <v>79</v>
      </c>
      <c r="V43" s="61">
        <f>+контингент!Z43-бюджет!U43</f>
        <v>28</v>
      </c>
      <c r="W43" s="61">
        <f>+контингент!AA43-бюджет!V43</f>
        <v>0</v>
      </c>
      <c r="X43" s="33">
        <f>U43+V43+W43</f>
        <v>107</v>
      </c>
    </row>
    <row r="44" spans="1:24" s="122" customFormat="1" ht="14.25">
      <c r="A44" s="95">
        <v>7</v>
      </c>
      <c r="B44" s="116" t="s">
        <v>58</v>
      </c>
      <c r="C44" s="161"/>
      <c r="D44" s="154" t="s">
        <v>119</v>
      </c>
      <c r="E44" s="109">
        <f>E45+E46+E47+E48+E49</f>
        <v>67</v>
      </c>
      <c r="F44" s="109">
        <f aca="true" t="shared" si="9" ref="F44:X44">F45+F46+F47+F48+F49</f>
        <v>0</v>
      </c>
      <c r="G44" s="109">
        <f t="shared" si="9"/>
        <v>0</v>
      </c>
      <c r="H44" s="109">
        <f t="shared" si="9"/>
        <v>67</v>
      </c>
      <c r="I44" s="109">
        <f t="shared" si="9"/>
        <v>75</v>
      </c>
      <c r="J44" s="109">
        <f t="shared" si="9"/>
        <v>0</v>
      </c>
      <c r="K44" s="109">
        <f t="shared" si="9"/>
        <v>0</v>
      </c>
      <c r="L44" s="109">
        <f t="shared" si="9"/>
        <v>75</v>
      </c>
      <c r="M44" s="109">
        <f t="shared" si="9"/>
        <v>46</v>
      </c>
      <c r="N44" s="109">
        <f t="shared" si="9"/>
        <v>0</v>
      </c>
      <c r="O44" s="109">
        <f t="shared" si="9"/>
        <v>0</v>
      </c>
      <c r="P44" s="109">
        <f t="shared" si="9"/>
        <v>46</v>
      </c>
      <c r="Q44" s="109">
        <f t="shared" si="9"/>
        <v>119</v>
      </c>
      <c r="R44" s="109">
        <f t="shared" si="9"/>
        <v>0</v>
      </c>
      <c r="S44" s="109">
        <f t="shared" si="9"/>
        <v>0</v>
      </c>
      <c r="T44" s="109">
        <f t="shared" si="9"/>
        <v>119</v>
      </c>
      <c r="U44" s="109">
        <f t="shared" si="9"/>
        <v>307</v>
      </c>
      <c r="V44" s="109">
        <f t="shared" si="9"/>
        <v>0</v>
      </c>
      <c r="W44" s="109">
        <f t="shared" si="9"/>
        <v>0</v>
      </c>
      <c r="X44" s="109">
        <f t="shared" si="9"/>
        <v>307</v>
      </c>
    </row>
    <row r="45" spans="1:24" ht="15">
      <c r="A45" s="60">
        <v>34</v>
      </c>
      <c r="B45" s="35" t="s">
        <v>14</v>
      </c>
      <c r="C45" s="136">
        <v>60230600</v>
      </c>
      <c r="D45" s="52" t="s">
        <v>14</v>
      </c>
      <c r="E45" s="61">
        <f>+контингент!E45-бюджет!D45</f>
        <v>39</v>
      </c>
      <c r="F45" s="61">
        <f>+контингент!F45-бюджет!E45</f>
        <v>0</v>
      </c>
      <c r="G45" s="61">
        <f>+контингент!G45-бюджет!F45</f>
        <v>0</v>
      </c>
      <c r="H45" s="61">
        <f>+контингент!I45-бюджет!G45</f>
        <v>39</v>
      </c>
      <c r="I45" s="61">
        <f>+контингент!J45-бюджет!H45</f>
        <v>26</v>
      </c>
      <c r="J45" s="61">
        <f>+контингент!K45-бюджет!I45</f>
        <v>0</v>
      </c>
      <c r="K45" s="61">
        <f>+контингент!L45-бюджет!J45</f>
        <v>0</v>
      </c>
      <c r="L45" s="61">
        <f>+контингент!N45-бюджет!K45</f>
        <v>26</v>
      </c>
      <c r="M45" s="61">
        <f>+контингент!O45-бюджет!L45</f>
        <v>46</v>
      </c>
      <c r="N45" s="61">
        <f>+контингент!P45-бюджет!M45</f>
        <v>0</v>
      </c>
      <c r="O45" s="61">
        <f>+контингент!Q45-бюджет!N45</f>
        <v>0</v>
      </c>
      <c r="P45" s="61">
        <f>+контингент!S45-бюджет!O45</f>
        <v>46</v>
      </c>
      <c r="Q45" s="61">
        <f>+контингент!T45-бюджет!P45</f>
        <v>119</v>
      </c>
      <c r="R45" s="61">
        <f>+контингент!U45-бюджет!Q45</f>
        <v>0</v>
      </c>
      <c r="S45" s="61">
        <f>+контингент!V45-бюджет!R45</f>
        <v>0</v>
      </c>
      <c r="T45" s="61">
        <f>+контингент!X45-бюджет!S45</f>
        <v>119</v>
      </c>
      <c r="U45" s="61">
        <f>+контингент!Y45-бюджет!T45</f>
        <v>230</v>
      </c>
      <c r="V45" s="61">
        <f>+контингент!Z45-бюджет!U45</f>
        <v>0</v>
      </c>
      <c r="W45" s="61">
        <f>+контингент!AA45-бюджет!V45</f>
        <v>0</v>
      </c>
      <c r="X45" s="33">
        <f>U45+V45+W45</f>
        <v>230</v>
      </c>
    </row>
    <row r="46" spans="1:24" ht="15">
      <c r="A46" s="60">
        <v>35</v>
      </c>
      <c r="B46" s="35"/>
      <c r="C46" s="94">
        <v>60410500</v>
      </c>
      <c r="D46" s="93" t="s">
        <v>130</v>
      </c>
      <c r="E46" s="61">
        <f>+контингент!E46-бюджет!D46</f>
        <v>18</v>
      </c>
      <c r="F46" s="61">
        <f>+контингент!F46-бюджет!E46</f>
        <v>0</v>
      </c>
      <c r="G46" s="61">
        <f>+контингент!G46-бюджет!F46</f>
        <v>0</v>
      </c>
      <c r="H46" s="61">
        <f>+контингент!I46-бюджет!G46</f>
        <v>18</v>
      </c>
      <c r="I46" s="61">
        <f>+контингент!J46-бюджет!H46</f>
        <v>12</v>
      </c>
      <c r="J46" s="61">
        <f>+контингент!K46-бюджет!I46</f>
        <v>0</v>
      </c>
      <c r="K46" s="61">
        <f>+контингент!L46-бюджет!J46</f>
        <v>0</v>
      </c>
      <c r="L46" s="61">
        <f>+контингент!N46-бюджет!K46</f>
        <v>12</v>
      </c>
      <c r="M46" s="61">
        <f>+контингент!O46-бюджет!L46</f>
        <v>0</v>
      </c>
      <c r="N46" s="61">
        <f>+контингент!P46-бюджет!M46</f>
        <v>0</v>
      </c>
      <c r="O46" s="61">
        <f>+контингент!Q46-бюджет!N46</f>
        <v>0</v>
      </c>
      <c r="P46" s="61">
        <f>+контингент!S46-бюджет!O46</f>
        <v>0</v>
      </c>
      <c r="Q46" s="61">
        <f>+контингент!T46-бюджет!P46</f>
        <v>0</v>
      </c>
      <c r="R46" s="61">
        <f>+контингент!U46-бюджет!Q46</f>
        <v>0</v>
      </c>
      <c r="S46" s="61">
        <f>+контингент!V46-бюджет!R46</f>
        <v>0</v>
      </c>
      <c r="T46" s="61">
        <f>+контингент!X46-бюджет!S46</f>
        <v>0</v>
      </c>
      <c r="U46" s="61">
        <f>+контингент!Y46-бюджет!T46</f>
        <v>30</v>
      </c>
      <c r="V46" s="61">
        <f>+контингент!Z46-бюджет!U46</f>
        <v>0</v>
      </c>
      <c r="W46" s="61">
        <f>+контингент!AA46-бюджет!V46</f>
        <v>0</v>
      </c>
      <c r="X46" s="33">
        <f>U46+V46+W46</f>
        <v>30</v>
      </c>
    </row>
    <row r="47" spans="1:24" ht="15">
      <c r="A47" s="60">
        <v>36</v>
      </c>
      <c r="B47" s="35"/>
      <c r="C47" s="94">
        <v>60411400</v>
      </c>
      <c r="D47" s="93" t="s">
        <v>131</v>
      </c>
      <c r="E47" s="61">
        <f>+контингент!E47-бюджет!D47</f>
        <v>10</v>
      </c>
      <c r="F47" s="61">
        <f>+контингент!F47-бюджет!E47</f>
        <v>0</v>
      </c>
      <c r="G47" s="61">
        <f>+контингент!G47-бюджет!F47</f>
        <v>0</v>
      </c>
      <c r="H47" s="61">
        <f>+контингент!I47-бюджет!G47</f>
        <v>10</v>
      </c>
      <c r="I47" s="61">
        <f>+контингент!J47-бюджет!H47</f>
        <v>18</v>
      </c>
      <c r="J47" s="61">
        <f>+контингент!K47-бюджет!I47</f>
        <v>0</v>
      </c>
      <c r="K47" s="61">
        <f>+контингент!L47-бюджет!J47</f>
        <v>0</v>
      </c>
      <c r="L47" s="61">
        <f>+контингент!N47-бюджет!K47</f>
        <v>18</v>
      </c>
      <c r="M47" s="61">
        <f>+контингент!O47-бюджет!L47</f>
        <v>0</v>
      </c>
      <c r="N47" s="61">
        <f>+контингент!P47-бюджет!M47</f>
        <v>0</v>
      </c>
      <c r="O47" s="61">
        <f>+контингент!Q47-бюджет!N47</f>
        <v>0</v>
      </c>
      <c r="P47" s="61">
        <f>+контингент!S47-бюджет!O47</f>
        <v>0</v>
      </c>
      <c r="Q47" s="61">
        <f>+контингент!T47-бюджет!P47</f>
        <v>0</v>
      </c>
      <c r="R47" s="61">
        <f>+контингент!U47-бюджет!Q47</f>
        <v>0</v>
      </c>
      <c r="S47" s="61">
        <f>+контингент!V47-бюджет!R47</f>
        <v>0</v>
      </c>
      <c r="T47" s="61">
        <f>+контингент!X47-бюджет!S47</f>
        <v>0</v>
      </c>
      <c r="U47" s="61">
        <f>+контингент!Y47-бюджет!T47</f>
        <v>28</v>
      </c>
      <c r="V47" s="61">
        <f>+контингент!Z47-бюджет!U47</f>
        <v>0</v>
      </c>
      <c r="W47" s="61">
        <f>+контингент!AA47-бюджет!V47</f>
        <v>0</v>
      </c>
      <c r="X47" s="33">
        <f>U47+V47+W47</f>
        <v>28</v>
      </c>
    </row>
    <row r="48" spans="1:24" ht="15">
      <c r="A48" s="60">
        <v>37</v>
      </c>
      <c r="B48" s="35"/>
      <c r="C48" s="94">
        <v>60412400</v>
      </c>
      <c r="D48" s="93" t="s">
        <v>132</v>
      </c>
      <c r="E48" s="61">
        <f>+контингент!E48-бюджет!D48</f>
        <v>0</v>
      </c>
      <c r="F48" s="61">
        <f>+контингент!F48-бюджет!E48</f>
        <v>0</v>
      </c>
      <c r="G48" s="61">
        <f>+контингент!G48-бюджет!F48</f>
        <v>0</v>
      </c>
      <c r="H48" s="61">
        <f>+контингент!I48-бюджет!G48</f>
        <v>0</v>
      </c>
      <c r="I48" s="61">
        <f>+контингент!J48-бюджет!H48</f>
        <v>10</v>
      </c>
      <c r="J48" s="61">
        <f>+контингент!K48-бюджет!I48</f>
        <v>0</v>
      </c>
      <c r="K48" s="61">
        <f>+контингент!L48-бюджет!J48</f>
        <v>0</v>
      </c>
      <c r="L48" s="61">
        <f>+контингент!N48-бюджет!K48</f>
        <v>10</v>
      </c>
      <c r="M48" s="61">
        <f>+контингент!O48-бюджет!L48</f>
        <v>0</v>
      </c>
      <c r="N48" s="61">
        <f>+контингент!P48-бюджет!M48</f>
        <v>0</v>
      </c>
      <c r="O48" s="61">
        <f>+контингент!Q48-бюджет!N48</f>
        <v>0</v>
      </c>
      <c r="P48" s="61">
        <f>+контингент!S48-бюджет!O48</f>
        <v>0</v>
      </c>
      <c r="Q48" s="61">
        <f>+контингент!T48-бюджет!P48</f>
        <v>0</v>
      </c>
      <c r="R48" s="61">
        <f>+контингент!U48-бюджет!Q48</f>
        <v>0</v>
      </c>
      <c r="S48" s="61">
        <f>+контингент!V48-бюджет!R48</f>
        <v>0</v>
      </c>
      <c r="T48" s="61">
        <f>+контингент!X48-бюджет!S48</f>
        <v>0</v>
      </c>
      <c r="U48" s="61">
        <f>+контингент!Y48-бюджет!T48</f>
        <v>10</v>
      </c>
      <c r="V48" s="61">
        <f>+контингент!Z48-бюджет!U48</f>
        <v>0</v>
      </c>
      <c r="W48" s="61">
        <f>+контингент!AA48-бюджет!V48</f>
        <v>0</v>
      </c>
      <c r="X48" s="33">
        <f>U48+V48+W48</f>
        <v>10</v>
      </c>
    </row>
    <row r="49" spans="1:24" ht="15">
      <c r="A49" s="60">
        <v>38</v>
      </c>
      <c r="B49" s="35"/>
      <c r="C49" s="94">
        <v>60310500</v>
      </c>
      <c r="D49" s="93" t="s">
        <v>133</v>
      </c>
      <c r="E49" s="61">
        <f>+контингент!E49-бюджет!D49</f>
        <v>0</v>
      </c>
      <c r="F49" s="61">
        <f>+контингент!F49-бюджет!E49</f>
        <v>0</v>
      </c>
      <c r="G49" s="61">
        <f>+контингент!G49-бюджет!F49</f>
        <v>0</v>
      </c>
      <c r="H49" s="61">
        <f>+контингент!I49-бюджет!G49</f>
        <v>0</v>
      </c>
      <c r="I49" s="61">
        <f>+контингент!J49-бюджет!H49</f>
        <v>9</v>
      </c>
      <c r="J49" s="61">
        <f>+контингент!K49-бюджет!I49</f>
        <v>0</v>
      </c>
      <c r="K49" s="61">
        <f>+контингент!L49-бюджет!J49</f>
        <v>0</v>
      </c>
      <c r="L49" s="61">
        <f>+контингент!N49-бюджет!K49</f>
        <v>9</v>
      </c>
      <c r="M49" s="61">
        <f>+контингент!O49-бюджет!L49</f>
        <v>0</v>
      </c>
      <c r="N49" s="61">
        <f>+контингент!P49-бюджет!M49</f>
        <v>0</v>
      </c>
      <c r="O49" s="61">
        <f>+контингент!Q49-бюджет!N49</f>
        <v>0</v>
      </c>
      <c r="P49" s="61">
        <f>+контингент!S49-бюджет!O49</f>
        <v>0</v>
      </c>
      <c r="Q49" s="61">
        <f>+контингент!T49-бюджет!P49</f>
        <v>0</v>
      </c>
      <c r="R49" s="61">
        <f>+контингент!U49-бюджет!Q49</f>
        <v>0</v>
      </c>
      <c r="S49" s="61">
        <f>+контингент!V49-бюджет!R49</f>
        <v>0</v>
      </c>
      <c r="T49" s="61">
        <f>+контингент!X49-бюджет!S49</f>
        <v>0</v>
      </c>
      <c r="U49" s="61">
        <f>+контингент!Y49-бюджет!T49</f>
        <v>9</v>
      </c>
      <c r="V49" s="61">
        <f>+контингент!Z49-бюджет!U49</f>
        <v>0</v>
      </c>
      <c r="W49" s="61">
        <f>+контингент!AA49-бюджет!V49</f>
        <v>0</v>
      </c>
      <c r="X49" s="33">
        <f>U49+V49+W49</f>
        <v>9</v>
      </c>
    </row>
    <row r="50" spans="1:24" s="129" customFormat="1" ht="14.25">
      <c r="A50" s="95">
        <v>8</v>
      </c>
      <c r="B50" s="128" t="s">
        <v>59</v>
      </c>
      <c r="C50" s="161"/>
      <c r="D50" s="149" t="s">
        <v>135</v>
      </c>
      <c r="E50" s="109">
        <f>E51+E52+E53+E54+E55</f>
        <v>93</v>
      </c>
      <c r="F50" s="109">
        <f aca="true" t="shared" si="10" ref="F50:X50">F51+F52+F53+F54+F55</f>
        <v>0</v>
      </c>
      <c r="G50" s="109">
        <f t="shared" si="10"/>
        <v>0</v>
      </c>
      <c r="H50" s="109">
        <f t="shared" si="10"/>
        <v>93</v>
      </c>
      <c r="I50" s="109">
        <f t="shared" si="10"/>
        <v>167</v>
      </c>
      <c r="J50" s="109">
        <f t="shared" si="10"/>
        <v>15</v>
      </c>
      <c r="K50" s="109">
        <f t="shared" si="10"/>
        <v>0</v>
      </c>
      <c r="L50" s="109">
        <f t="shared" si="10"/>
        <v>182</v>
      </c>
      <c r="M50" s="109">
        <f t="shared" si="10"/>
        <v>125</v>
      </c>
      <c r="N50" s="109">
        <f t="shared" si="10"/>
        <v>8</v>
      </c>
      <c r="O50" s="109">
        <f t="shared" si="10"/>
        <v>0</v>
      </c>
      <c r="P50" s="109">
        <f t="shared" si="10"/>
        <v>133</v>
      </c>
      <c r="Q50" s="109">
        <f t="shared" si="10"/>
        <v>157</v>
      </c>
      <c r="R50" s="109">
        <f t="shared" si="10"/>
        <v>30</v>
      </c>
      <c r="S50" s="109">
        <f t="shared" si="10"/>
        <v>0</v>
      </c>
      <c r="T50" s="109">
        <f t="shared" si="10"/>
        <v>187</v>
      </c>
      <c r="U50" s="109">
        <f t="shared" si="10"/>
        <v>542</v>
      </c>
      <c r="V50" s="109">
        <f t="shared" si="10"/>
        <v>53</v>
      </c>
      <c r="W50" s="109">
        <f t="shared" si="10"/>
        <v>0</v>
      </c>
      <c r="X50" s="109">
        <f t="shared" si="10"/>
        <v>595</v>
      </c>
    </row>
    <row r="51" spans="1:24" s="22" customFormat="1" ht="15">
      <c r="A51" s="60">
        <v>39</v>
      </c>
      <c r="B51" s="35" t="s">
        <v>30</v>
      </c>
      <c r="C51" s="136">
        <v>60310900</v>
      </c>
      <c r="D51" s="52" t="s">
        <v>54</v>
      </c>
      <c r="E51" s="61">
        <f>+контингент!E51-бюджет!D51</f>
        <v>0</v>
      </c>
      <c r="F51" s="61">
        <f>+контингент!F51-бюджет!E51</f>
        <v>0</v>
      </c>
      <c r="G51" s="61">
        <f>+контингент!G51-бюджет!F51</f>
        <v>0</v>
      </c>
      <c r="H51" s="61">
        <f>+контингент!I51-бюджет!G51</f>
        <v>0</v>
      </c>
      <c r="I51" s="61">
        <f>+контингент!J51-бюджет!H51</f>
        <v>99</v>
      </c>
      <c r="J51" s="61">
        <f>+контингент!K51-бюджет!I51</f>
        <v>15</v>
      </c>
      <c r="K51" s="61">
        <f>+контингент!L51-бюджет!J51</f>
        <v>0</v>
      </c>
      <c r="L51" s="61">
        <f>+контингент!N51-бюджет!K51</f>
        <v>114</v>
      </c>
      <c r="M51" s="61">
        <f>+контингент!O51-бюджет!L51</f>
        <v>0</v>
      </c>
      <c r="N51" s="61">
        <f>+контингент!P51-бюджет!M51</f>
        <v>0</v>
      </c>
      <c r="O51" s="61">
        <f>+контингент!Q51-бюджет!N51</f>
        <v>0</v>
      </c>
      <c r="P51" s="61">
        <f>+контингент!S51-бюджет!O51</f>
        <v>0</v>
      </c>
      <c r="Q51" s="61">
        <f>+контингент!T51-бюджет!P51</f>
        <v>0</v>
      </c>
      <c r="R51" s="61">
        <f>+контингент!U51-бюджет!Q51</f>
        <v>0</v>
      </c>
      <c r="S51" s="61">
        <f>+контингент!V51-бюджет!R51</f>
        <v>0</v>
      </c>
      <c r="T51" s="61">
        <f>+контингент!X51-бюджет!S51</f>
        <v>0</v>
      </c>
      <c r="U51" s="61">
        <f>+контингент!Y51-бюджет!T51</f>
        <v>99</v>
      </c>
      <c r="V51" s="61">
        <f>+контингент!Z51-бюджет!U51</f>
        <v>15</v>
      </c>
      <c r="W51" s="61">
        <f>+контингент!AA51-бюджет!V51</f>
        <v>0</v>
      </c>
      <c r="X51" s="33">
        <f>U51+V51+W51</f>
        <v>114</v>
      </c>
    </row>
    <row r="52" spans="1:24" ht="15">
      <c r="A52" s="60">
        <v>40</v>
      </c>
      <c r="B52" s="35" t="s">
        <v>20</v>
      </c>
      <c r="C52" s="94">
        <v>5520100</v>
      </c>
      <c r="D52" s="69" t="s">
        <v>20</v>
      </c>
      <c r="E52" s="61">
        <f>+контингент!E52-бюджет!D52</f>
        <v>10</v>
      </c>
      <c r="F52" s="61">
        <f>+контингент!F52-бюджет!E52</f>
        <v>0</v>
      </c>
      <c r="G52" s="61">
        <f>+контингент!G52-бюджет!F52</f>
        <v>0</v>
      </c>
      <c r="H52" s="61">
        <f>+контингент!I52-бюджет!G52</f>
        <v>10</v>
      </c>
      <c r="I52" s="61">
        <f>+контингент!J52-бюджет!H52</f>
        <v>34</v>
      </c>
      <c r="J52" s="61">
        <f>+контингент!K52-бюджет!I52</f>
        <v>0</v>
      </c>
      <c r="K52" s="61">
        <f>+контингент!L52-бюджет!J52</f>
        <v>0</v>
      </c>
      <c r="L52" s="61">
        <f>+контингент!N52-бюджет!K52</f>
        <v>34</v>
      </c>
      <c r="M52" s="61">
        <f>+контингент!O52-бюджет!L52</f>
        <v>35</v>
      </c>
      <c r="N52" s="61">
        <f>+контингент!P52-бюджет!M52</f>
        <v>0</v>
      </c>
      <c r="O52" s="61">
        <f>+контингент!Q52-бюджет!N52</f>
        <v>0</v>
      </c>
      <c r="P52" s="61">
        <f>+контингент!S52-бюджет!O52</f>
        <v>35</v>
      </c>
      <c r="Q52" s="61">
        <f>+контингент!T52-бюджет!P52</f>
        <v>49</v>
      </c>
      <c r="R52" s="61">
        <f>+контингент!U52-бюджет!Q52</f>
        <v>14</v>
      </c>
      <c r="S52" s="61">
        <f>+контингент!V52-бюджет!R52</f>
        <v>0</v>
      </c>
      <c r="T52" s="61">
        <f>+контингент!X52-бюджет!S52</f>
        <v>63</v>
      </c>
      <c r="U52" s="61">
        <f>+контингент!Y52-бюджет!T52</f>
        <v>128</v>
      </c>
      <c r="V52" s="61">
        <f>+контингент!Z52-бюджет!U52</f>
        <v>14</v>
      </c>
      <c r="W52" s="61">
        <f>+контингент!AA52-бюджет!V52</f>
        <v>0</v>
      </c>
      <c r="X52" s="33">
        <f>U52+V52+W52</f>
        <v>142</v>
      </c>
    </row>
    <row r="53" spans="1:24" s="8" customFormat="1" ht="15">
      <c r="A53" s="60">
        <v>41</v>
      </c>
      <c r="B53" s="10" t="s">
        <v>77</v>
      </c>
      <c r="C53" s="136">
        <v>60311000</v>
      </c>
      <c r="D53" s="78" t="s">
        <v>81</v>
      </c>
      <c r="E53" s="61">
        <f>+контингент!E53-бюджет!D53</f>
        <v>13</v>
      </c>
      <c r="F53" s="61">
        <f>+контингент!F53-бюджет!E53</f>
        <v>0</v>
      </c>
      <c r="G53" s="61">
        <f>+контингент!G53-бюджет!F53</f>
        <v>0</v>
      </c>
      <c r="H53" s="61">
        <f>+контингент!I53-бюджет!G53</f>
        <v>13</v>
      </c>
      <c r="I53" s="61">
        <f>+контингент!J53-бюджет!H53</f>
        <v>14</v>
      </c>
      <c r="J53" s="61">
        <f>+контингент!K53-бюджет!I53</f>
        <v>0</v>
      </c>
      <c r="K53" s="61">
        <f>+контингент!L53-бюджет!J53</f>
        <v>0</v>
      </c>
      <c r="L53" s="61">
        <f>+контингент!N53-бюджет!K53</f>
        <v>14</v>
      </c>
      <c r="M53" s="61">
        <f>+контингент!O53-бюджет!L53</f>
        <v>33</v>
      </c>
      <c r="N53" s="61">
        <f>+контингент!P53-бюджет!M53</f>
        <v>0</v>
      </c>
      <c r="O53" s="61">
        <f>+контингент!Q53-бюджет!N53</f>
        <v>0</v>
      </c>
      <c r="P53" s="61">
        <f>+контингент!S53-бюджет!O53</f>
        <v>33</v>
      </c>
      <c r="Q53" s="61">
        <f>+контингент!T53-бюджет!P53</f>
        <v>28</v>
      </c>
      <c r="R53" s="61">
        <f>+контингент!U53-бюджет!Q53</f>
        <v>0</v>
      </c>
      <c r="S53" s="61">
        <f>+контингент!V53-бюджет!R53</f>
        <v>0</v>
      </c>
      <c r="T53" s="61">
        <f>+контингент!X53-бюджет!S53</f>
        <v>28</v>
      </c>
      <c r="U53" s="61">
        <f>+контингент!Y53-бюджет!T53</f>
        <v>88</v>
      </c>
      <c r="V53" s="61">
        <f>+контингент!Z53-бюджет!U53</f>
        <v>0</v>
      </c>
      <c r="W53" s="61">
        <f>+контингент!AA53-бюджет!V53</f>
        <v>0</v>
      </c>
      <c r="X53" s="33">
        <f>U53+V53+W53</f>
        <v>88</v>
      </c>
    </row>
    <row r="54" spans="1:24" s="8" customFormat="1" ht="15">
      <c r="A54" s="60">
        <v>42</v>
      </c>
      <c r="B54" s="10" t="s">
        <v>78</v>
      </c>
      <c r="C54" s="136">
        <v>60310900</v>
      </c>
      <c r="D54" s="78" t="s">
        <v>82</v>
      </c>
      <c r="E54" s="61">
        <f>+контингент!E54-бюджет!D54</f>
        <v>70</v>
      </c>
      <c r="F54" s="61">
        <f>+контингент!F54-бюджет!E54</f>
        <v>0</v>
      </c>
      <c r="G54" s="61">
        <f>+контингент!G54-бюджет!F54</f>
        <v>0</v>
      </c>
      <c r="H54" s="61">
        <f>+контингент!I54-бюджет!G54</f>
        <v>70</v>
      </c>
      <c r="I54" s="61">
        <f>+контингент!J54-бюджет!H54</f>
        <v>0</v>
      </c>
      <c r="J54" s="61">
        <f>+контингент!K54-бюджет!I54</f>
        <v>0</v>
      </c>
      <c r="K54" s="61">
        <f>+контингент!L54-бюджет!J54</f>
        <v>0</v>
      </c>
      <c r="L54" s="61">
        <f>+контингент!N54-бюджет!K54</f>
        <v>0</v>
      </c>
      <c r="M54" s="61">
        <f>+контингент!O54-бюджет!L54</f>
        <v>57</v>
      </c>
      <c r="N54" s="61">
        <f>+контингент!P54-бюджет!M54</f>
        <v>8</v>
      </c>
      <c r="O54" s="61">
        <f>+контингент!Q54-бюджет!N54</f>
        <v>0</v>
      </c>
      <c r="P54" s="61">
        <f>+контингент!S54-бюджет!O54</f>
        <v>65</v>
      </c>
      <c r="Q54" s="61">
        <f>+контингент!T54-бюджет!P54</f>
        <v>80</v>
      </c>
      <c r="R54" s="61">
        <f>+контингент!U54-бюджет!Q54</f>
        <v>16</v>
      </c>
      <c r="S54" s="61">
        <f>+контингент!V54-бюджет!R54</f>
        <v>0</v>
      </c>
      <c r="T54" s="61">
        <f>+контингент!X54-бюджет!S54</f>
        <v>96</v>
      </c>
      <c r="U54" s="61">
        <f>+контингент!Y54-бюджет!T54</f>
        <v>207</v>
      </c>
      <c r="V54" s="61">
        <f>+контингент!Z54-бюджет!U54</f>
        <v>24</v>
      </c>
      <c r="W54" s="61">
        <f>+контингент!AA54-бюджет!V54</f>
        <v>0</v>
      </c>
      <c r="X54" s="33">
        <f>U54+V54+W54</f>
        <v>231</v>
      </c>
    </row>
    <row r="55" spans="1:24" s="8" customFormat="1" ht="15">
      <c r="A55" s="60">
        <v>43</v>
      </c>
      <c r="B55" s="10"/>
      <c r="C55" s="136">
        <v>60220500</v>
      </c>
      <c r="D55" s="69" t="s">
        <v>60</v>
      </c>
      <c r="E55" s="61">
        <f>+контингент!E55-бюджет!D55</f>
        <v>0</v>
      </c>
      <c r="F55" s="61">
        <f>+контингент!F55-бюджет!E55</f>
        <v>0</v>
      </c>
      <c r="G55" s="61">
        <f>+контингент!G55-бюджет!F55</f>
        <v>0</v>
      </c>
      <c r="H55" s="61">
        <f>+контингент!I55-бюджет!G55</f>
        <v>0</v>
      </c>
      <c r="I55" s="61">
        <f>+контингент!J55-бюджет!H55</f>
        <v>20</v>
      </c>
      <c r="J55" s="61">
        <f>+контингент!K55-бюджет!I55</f>
        <v>0</v>
      </c>
      <c r="K55" s="61">
        <f>+контингент!L55-бюджет!J55</f>
        <v>0</v>
      </c>
      <c r="L55" s="61">
        <f>+контингент!N55-бюджет!K55</f>
        <v>20</v>
      </c>
      <c r="M55" s="61">
        <f>+контингент!O55-бюджет!L55</f>
        <v>0</v>
      </c>
      <c r="N55" s="61">
        <f>+контингент!P55-бюджет!M55</f>
        <v>0</v>
      </c>
      <c r="O55" s="61">
        <f>+контингент!Q55-бюджет!N55</f>
        <v>0</v>
      </c>
      <c r="P55" s="61">
        <f>+контингент!S55-бюджет!O55</f>
        <v>0</v>
      </c>
      <c r="Q55" s="61">
        <f>+контингент!T55-бюджет!P55</f>
        <v>0</v>
      </c>
      <c r="R55" s="61">
        <f>+контингент!U55-бюджет!Q55</f>
        <v>0</v>
      </c>
      <c r="S55" s="61">
        <f>+контингент!V55-бюджет!R55</f>
        <v>0</v>
      </c>
      <c r="T55" s="61">
        <f>+контингент!X55-бюджет!S55</f>
        <v>0</v>
      </c>
      <c r="U55" s="61">
        <f>+контингент!Y55-бюджет!T55</f>
        <v>20</v>
      </c>
      <c r="V55" s="61">
        <f>+контингент!Z55-бюджет!U55</f>
        <v>0</v>
      </c>
      <c r="W55" s="61">
        <f>+контингент!AA55-бюджет!V55</f>
        <v>0</v>
      </c>
      <c r="X55" s="33">
        <f>U55+V55+W55</f>
        <v>20</v>
      </c>
    </row>
    <row r="56" spans="1:24" s="122" customFormat="1" ht="14.25">
      <c r="A56" s="95">
        <v>9</v>
      </c>
      <c r="B56" s="116" t="s">
        <v>37</v>
      </c>
      <c r="C56" s="161"/>
      <c r="D56" s="190" t="s">
        <v>141</v>
      </c>
      <c r="E56" s="109">
        <f>+E57+E58+E59+E60+E61+E62+E63+E64</f>
        <v>3</v>
      </c>
      <c r="F56" s="109">
        <f aca="true" t="shared" si="11" ref="F56:X56">+F57+F58+F59+F60+F61+F62+F63+F64</f>
        <v>0</v>
      </c>
      <c r="G56" s="109">
        <f t="shared" si="11"/>
        <v>0</v>
      </c>
      <c r="H56" s="109">
        <f t="shared" si="11"/>
        <v>3</v>
      </c>
      <c r="I56" s="109">
        <f t="shared" si="11"/>
        <v>0</v>
      </c>
      <c r="J56" s="109">
        <f t="shared" si="11"/>
        <v>0</v>
      </c>
      <c r="K56" s="109">
        <f t="shared" si="11"/>
        <v>0</v>
      </c>
      <c r="L56" s="109">
        <f t="shared" si="11"/>
        <v>0</v>
      </c>
      <c r="M56" s="109">
        <f t="shared" si="11"/>
        <v>120</v>
      </c>
      <c r="N56" s="109">
        <f t="shared" si="11"/>
        <v>0</v>
      </c>
      <c r="O56" s="109">
        <f t="shared" si="11"/>
        <v>0</v>
      </c>
      <c r="P56" s="109">
        <f t="shared" si="11"/>
        <v>120</v>
      </c>
      <c r="Q56" s="109">
        <f t="shared" si="11"/>
        <v>357</v>
      </c>
      <c r="R56" s="109">
        <f t="shared" si="11"/>
        <v>42</v>
      </c>
      <c r="S56" s="109">
        <f t="shared" si="11"/>
        <v>33</v>
      </c>
      <c r="T56" s="109">
        <f t="shared" si="11"/>
        <v>432</v>
      </c>
      <c r="U56" s="109">
        <f t="shared" si="11"/>
        <v>480</v>
      </c>
      <c r="V56" s="109">
        <f t="shared" si="11"/>
        <v>42</v>
      </c>
      <c r="W56" s="109">
        <f t="shared" si="11"/>
        <v>33</v>
      </c>
      <c r="X56" s="109">
        <f t="shared" si="11"/>
        <v>555</v>
      </c>
    </row>
    <row r="57" spans="1:24" s="3" customFormat="1" ht="15">
      <c r="A57" s="60">
        <v>44</v>
      </c>
      <c r="B57" s="39" t="s">
        <v>33</v>
      </c>
      <c r="C57" s="164">
        <v>60210400</v>
      </c>
      <c r="D57" s="164" t="s">
        <v>137</v>
      </c>
      <c r="E57" s="61">
        <f>+контингент!E57-бюджет!D57</f>
        <v>3</v>
      </c>
      <c r="F57" s="61">
        <f>+контингент!F57-бюджет!E57</f>
        <v>0</v>
      </c>
      <c r="G57" s="61">
        <f>+контингент!G57-бюджет!F57</f>
        <v>0</v>
      </c>
      <c r="H57" s="61">
        <f>+контингент!I57-бюджет!G57</f>
        <v>3</v>
      </c>
      <c r="I57" s="61">
        <f>+контингент!J57-бюджет!H57</f>
        <v>0</v>
      </c>
      <c r="J57" s="61">
        <f>+контингент!K57-бюджет!I57</f>
        <v>0</v>
      </c>
      <c r="K57" s="61">
        <f>+контингент!L57-бюджет!J57</f>
        <v>0</v>
      </c>
      <c r="L57" s="61">
        <f>+контингент!N57-бюджет!K57</f>
        <v>0</v>
      </c>
      <c r="M57" s="61">
        <f>+контингент!O57-бюджет!L57</f>
        <v>0</v>
      </c>
      <c r="N57" s="61">
        <f>+контингент!P57-бюджет!M57</f>
        <v>0</v>
      </c>
      <c r="O57" s="61">
        <f>+контингент!Q57-бюджет!N57</f>
        <v>0</v>
      </c>
      <c r="P57" s="61">
        <f>+контингент!S57-бюджет!O57</f>
        <v>0</v>
      </c>
      <c r="Q57" s="61">
        <f>+контингент!T57-бюджет!P57</f>
        <v>0</v>
      </c>
      <c r="R57" s="61">
        <f>+контингент!U57-бюджет!Q57</f>
        <v>0</v>
      </c>
      <c r="S57" s="61">
        <f>+контингент!V57-бюджет!R57</f>
        <v>0</v>
      </c>
      <c r="T57" s="61">
        <f>+контингент!X57-бюджет!S57</f>
        <v>0</v>
      </c>
      <c r="U57" s="61">
        <f>+контингент!Y57-бюджет!T57</f>
        <v>3</v>
      </c>
      <c r="V57" s="61">
        <f>+контингент!Z57-бюджет!U57</f>
        <v>0</v>
      </c>
      <c r="W57" s="61">
        <f>+контингент!AA57-бюджет!V57</f>
        <v>0</v>
      </c>
      <c r="X57" s="33">
        <f aca="true" t="shared" si="12" ref="X57:X63">U57+V57+W57</f>
        <v>3</v>
      </c>
    </row>
    <row r="58" spans="1:24" s="3" customFormat="1" ht="15">
      <c r="A58" s="60">
        <v>45</v>
      </c>
      <c r="B58" s="39" t="s">
        <v>32</v>
      </c>
      <c r="C58" s="94">
        <v>5610535</v>
      </c>
      <c r="D58" s="69" t="s">
        <v>56</v>
      </c>
      <c r="E58" s="61">
        <f>+контингент!E58-бюджет!D58</f>
        <v>0</v>
      </c>
      <c r="F58" s="61">
        <f>+контингент!F58-бюджет!E58</f>
        <v>0</v>
      </c>
      <c r="G58" s="61">
        <f>+контингент!G58-бюджет!F58</f>
        <v>0</v>
      </c>
      <c r="H58" s="61">
        <f>+контингент!I58-бюджет!G58</f>
        <v>0</v>
      </c>
      <c r="I58" s="61">
        <f>+контингент!J58-бюджет!H58</f>
        <v>0</v>
      </c>
      <c r="J58" s="61">
        <f>+контингент!K58-бюджет!I58</f>
        <v>0</v>
      </c>
      <c r="K58" s="61">
        <f>+контингент!L58-бюджет!J58</f>
        <v>0</v>
      </c>
      <c r="L58" s="61">
        <f>+контингент!N58-бюджет!K58</f>
        <v>0</v>
      </c>
      <c r="M58" s="61">
        <f>+контингент!O58-бюджет!L58</f>
        <v>38</v>
      </c>
      <c r="N58" s="61">
        <f>+контингент!P58-бюджет!M58</f>
        <v>0</v>
      </c>
      <c r="O58" s="61">
        <f>+контингент!Q58-бюджет!N58</f>
        <v>0</v>
      </c>
      <c r="P58" s="61">
        <f>+контингент!S58-бюджет!O58</f>
        <v>38</v>
      </c>
      <c r="Q58" s="61">
        <f>+контингент!T58-бюджет!P58</f>
        <v>0</v>
      </c>
      <c r="R58" s="61">
        <f>+контингент!U58-бюджет!Q58</f>
        <v>0</v>
      </c>
      <c r="S58" s="61">
        <f>+контингент!V58-бюджет!R58</f>
        <v>0</v>
      </c>
      <c r="T58" s="61">
        <f>+контингент!X58-бюджет!S58</f>
        <v>0</v>
      </c>
      <c r="U58" s="61">
        <f>+контингент!Y58-бюджет!T58</f>
        <v>38</v>
      </c>
      <c r="V58" s="61">
        <f>+контингент!Z58-бюджет!U58</f>
        <v>0</v>
      </c>
      <c r="W58" s="61">
        <f>+контингент!AA58-бюджет!V58</f>
        <v>0</v>
      </c>
      <c r="X58" s="33">
        <f t="shared" si="12"/>
        <v>38</v>
      </c>
    </row>
    <row r="59" spans="1:24" s="3" customFormat="1" ht="15">
      <c r="A59" s="60">
        <v>46</v>
      </c>
      <c r="B59" s="39"/>
      <c r="C59" s="94">
        <v>5310500</v>
      </c>
      <c r="D59" s="69" t="s">
        <v>118</v>
      </c>
      <c r="E59" s="61">
        <f>+контингент!E59-бюджет!D59</f>
        <v>0</v>
      </c>
      <c r="F59" s="61">
        <f>+контингент!F59-бюджет!E59</f>
        <v>0</v>
      </c>
      <c r="G59" s="61">
        <f>+контингент!G59-бюджет!F59</f>
        <v>0</v>
      </c>
      <c r="H59" s="61">
        <f>+контингент!I59-бюджет!G59</f>
        <v>0</v>
      </c>
      <c r="I59" s="61">
        <f>+контингент!J59-бюджет!H59</f>
        <v>0</v>
      </c>
      <c r="J59" s="61">
        <f>+контингент!K59-бюджет!I59</f>
        <v>0</v>
      </c>
      <c r="K59" s="61">
        <f>+контингент!L59-бюджет!J59</f>
        <v>0</v>
      </c>
      <c r="L59" s="61">
        <f>+контингент!N59-бюджет!K59</f>
        <v>0</v>
      </c>
      <c r="M59" s="61">
        <f>+контингент!O59-бюджет!L59</f>
        <v>31</v>
      </c>
      <c r="N59" s="61">
        <f>+контингент!P59-бюджет!M59</f>
        <v>0</v>
      </c>
      <c r="O59" s="61">
        <f>+контингент!Q59-бюджет!N59</f>
        <v>0</v>
      </c>
      <c r="P59" s="61">
        <f>+контингент!S59-бюджет!O59</f>
        <v>31</v>
      </c>
      <c r="Q59" s="61">
        <f>+контингент!T59-бюджет!P59</f>
        <v>0</v>
      </c>
      <c r="R59" s="61">
        <f>+контингент!U59-бюджет!Q59</f>
        <v>0</v>
      </c>
      <c r="S59" s="61">
        <f>+контингент!V59-бюджет!R59</f>
        <v>0</v>
      </c>
      <c r="T59" s="61">
        <f>+контингент!X59-бюджет!S59</f>
        <v>0</v>
      </c>
      <c r="U59" s="61">
        <f>+контингент!Y59-бюджет!T59</f>
        <v>31</v>
      </c>
      <c r="V59" s="61">
        <f>+контингент!Z59-бюджет!U59</f>
        <v>0</v>
      </c>
      <c r="W59" s="61">
        <f>+контингент!AA59-бюджет!V59</f>
        <v>0</v>
      </c>
      <c r="X59" s="33">
        <f t="shared" si="12"/>
        <v>31</v>
      </c>
    </row>
    <row r="60" spans="1:24" s="3" customFormat="1" ht="15">
      <c r="A60" s="60">
        <v>47</v>
      </c>
      <c r="B60" s="39"/>
      <c r="C60" s="163">
        <v>60210500</v>
      </c>
      <c r="D60" s="78" t="s">
        <v>83</v>
      </c>
      <c r="E60" s="61">
        <f>+контингент!E60-бюджет!D60</f>
        <v>0</v>
      </c>
      <c r="F60" s="61">
        <f>+контингент!F60-бюджет!E60</f>
        <v>0</v>
      </c>
      <c r="G60" s="61">
        <f>+контингент!G60-бюджет!F60</f>
        <v>0</v>
      </c>
      <c r="H60" s="61">
        <f>+контингент!I60-бюджет!G60</f>
        <v>0</v>
      </c>
      <c r="I60" s="61">
        <f>+контингент!J60-бюджет!H60</f>
        <v>0</v>
      </c>
      <c r="J60" s="61">
        <f>+контингент!K60-бюджет!I60</f>
        <v>0</v>
      </c>
      <c r="K60" s="61">
        <f>+контингент!L60-бюджет!J60</f>
        <v>0</v>
      </c>
      <c r="L60" s="61">
        <f>+контингент!N60-бюджет!K60</f>
        <v>0</v>
      </c>
      <c r="M60" s="61">
        <f>+контингент!O60-бюджет!L60</f>
        <v>14</v>
      </c>
      <c r="N60" s="61">
        <f>+контингент!P60-бюджет!M60</f>
        <v>0</v>
      </c>
      <c r="O60" s="61">
        <f>+контингент!Q60-бюджет!N60</f>
        <v>0</v>
      </c>
      <c r="P60" s="61">
        <f>+контингент!S60-бюджет!O60</f>
        <v>14</v>
      </c>
      <c r="Q60" s="61">
        <f>+контингент!T60-бюджет!P60</f>
        <v>19</v>
      </c>
      <c r="R60" s="61">
        <f>+контингент!U60-бюджет!Q60</f>
        <v>0</v>
      </c>
      <c r="S60" s="61">
        <f>+контингент!V60-бюджет!R60</f>
        <v>0</v>
      </c>
      <c r="T60" s="61">
        <f>+контингент!X60-бюджет!S60</f>
        <v>19</v>
      </c>
      <c r="U60" s="61">
        <f>+контингент!Y60-бюджет!T60</f>
        <v>33</v>
      </c>
      <c r="V60" s="61">
        <f>+контингент!Z60-бюджет!U60</f>
        <v>0</v>
      </c>
      <c r="W60" s="61">
        <f>+контингент!AA60-бюджет!V60</f>
        <v>0</v>
      </c>
      <c r="X60" s="33">
        <f t="shared" si="12"/>
        <v>33</v>
      </c>
    </row>
    <row r="61" spans="1:24" s="3" customFormat="1" ht="15">
      <c r="A61" s="60">
        <v>48</v>
      </c>
      <c r="B61" s="39"/>
      <c r="C61" s="163">
        <v>60211400</v>
      </c>
      <c r="D61" s="78" t="s">
        <v>84</v>
      </c>
      <c r="E61" s="61">
        <f>+контингент!E61-бюджет!D61</f>
        <v>0</v>
      </c>
      <c r="F61" s="61">
        <f>+контингент!F61-бюджет!E61</f>
        <v>0</v>
      </c>
      <c r="G61" s="61">
        <f>+контингент!G61-бюджет!F61</f>
        <v>0</v>
      </c>
      <c r="H61" s="61">
        <f>+контингент!I61-бюджет!G61</f>
        <v>0</v>
      </c>
      <c r="I61" s="61">
        <f>+контингент!J61-бюджет!H61</f>
        <v>0</v>
      </c>
      <c r="J61" s="61">
        <f>+контингент!K61-бюджет!I61</f>
        <v>0</v>
      </c>
      <c r="K61" s="61">
        <f>+контингент!L61-бюджет!J61</f>
        <v>0</v>
      </c>
      <c r="L61" s="61">
        <f>+контингент!N61-бюджет!K61</f>
        <v>0</v>
      </c>
      <c r="M61" s="61">
        <f>+контингент!O61-бюджет!L61</f>
        <v>11</v>
      </c>
      <c r="N61" s="61">
        <f>+контингент!P61-бюджет!M61</f>
        <v>0</v>
      </c>
      <c r="O61" s="61">
        <f>+контингент!Q61-бюджет!N61</f>
        <v>0</v>
      </c>
      <c r="P61" s="61">
        <f>+контингент!S61-бюджет!O61</f>
        <v>11</v>
      </c>
      <c r="Q61" s="61">
        <f>+контингент!T61-бюджет!P61</f>
        <v>23</v>
      </c>
      <c r="R61" s="61">
        <f>+контингент!U61-бюджет!Q61</f>
        <v>0</v>
      </c>
      <c r="S61" s="61">
        <f>+контингент!V61-бюджет!R61</f>
        <v>0</v>
      </c>
      <c r="T61" s="61">
        <f>+контингент!X61-бюджет!S61</f>
        <v>23</v>
      </c>
      <c r="U61" s="61">
        <f>+контингент!Y61-бюджет!T61</f>
        <v>34</v>
      </c>
      <c r="V61" s="61">
        <f>+контингент!Z61-бюджет!U61</f>
        <v>0</v>
      </c>
      <c r="W61" s="61">
        <f>+контингент!AA61-бюджет!V61</f>
        <v>0</v>
      </c>
      <c r="X61" s="33">
        <f t="shared" si="12"/>
        <v>34</v>
      </c>
    </row>
    <row r="62" spans="1:24" s="3" customFormat="1" ht="15">
      <c r="A62" s="60">
        <v>49</v>
      </c>
      <c r="B62" s="39"/>
      <c r="C62" s="163">
        <v>60211500</v>
      </c>
      <c r="D62" s="52" t="s">
        <v>86</v>
      </c>
      <c r="E62" s="61">
        <f>+контингент!E62-бюджет!D62</f>
        <v>0</v>
      </c>
      <c r="F62" s="61">
        <f>+контингент!F62-бюджет!E62</f>
        <v>0</v>
      </c>
      <c r="G62" s="61">
        <f>+контингент!G62-бюджет!F62</f>
        <v>0</v>
      </c>
      <c r="H62" s="61">
        <f>+контингент!I62-бюджет!G62</f>
        <v>0</v>
      </c>
      <c r="I62" s="61">
        <f>+контингент!J62-бюджет!H62</f>
        <v>0</v>
      </c>
      <c r="J62" s="61">
        <f>+контингент!K62-бюджет!I62</f>
        <v>0</v>
      </c>
      <c r="K62" s="61">
        <f>+контингент!L62-бюджет!J62</f>
        <v>0</v>
      </c>
      <c r="L62" s="61">
        <f>+контингент!N62-бюджет!K62</f>
        <v>0</v>
      </c>
      <c r="M62" s="61">
        <f>+контингент!O62-бюджет!L62</f>
        <v>18</v>
      </c>
      <c r="N62" s="61">
        <f>+контингент!P62-бюджет!M62</f>
        <v>0</v>
      </c>
      <c r="O62" s="61">
        <f>+контингент!Q62-бюджет!N62</f>
        <v>0</v>
      </c>
      <c r="P62" s="61">
        <f>+контингент!S62-бюджет!O62</f>
        <v>18</v>
      </c>
      <c r="Q62" s="61">
        <f>+контингент!T62-бюджет!P62</f>
        <v>26</v>
      </c>
      <c r="R62" s="61">
        <f>+контингент!U62-бюджет!Q62</f>
        <v>0</v>
      </c>
      <c r="S62" s="61">
        <f>+контингент!V62-бюджет!R62</f>
        <v>0</v>
      </c>
      <c r="T62" s="61">
        <f>+контингент!X62-бюджет!S62</f>
        <v>26</v>
      </c>
      <c r="U62" s="61">
        <f>+контингент!Y62-бюджет!T62</f>
        <v>44</v>
      </c>
      <c r="V62" s="61">
        <f>+контингент!Z62-бюджет!U62</f>
        <v>0</v>
      </c>
      <c r="W62" s="61">
        <f>+контингент!AA62-бюджет!V62</f>
        <v>0</v>
      </c>
      <c r="X62" s="33">
        <f t="shared" si="12"/>
        <v>44</v>
      </c>
    </row>
    <row r="63" spans="1:24" s="3" customFormat="1" ht="15">
      <c r="A63" s="60">
        <v>50</v>
      </c>
      <c r="B63" s="39"/>
      <c r="C63" s="163">
        <v>60210800</v>
      </c>
      <c r="D63" s="78" t="s">
        <v>85</v>
      </c>
      <c r="E63" s="61">
        <f>+контингент!E63-бюджет!D63</f>
        <v>0</v>
      </c>
      <c r="F63" s="61">
        <f>+контингент!F63-бюджет!E63</f>
        <v>0</v>
      </c>
      <c r="G63" s="61">
        <f>+контингент!G63-бюджет!F63</f>
        <v>0</v>
      </c>
      <c r="H63" s="61">
        <f>+контингент!I63-бюджет!G63</f>
        <v>0</v>
      </c>
      <c r="I63" s="61">
        <f>+контингент!J63-бюджет!H63</f>
        <v>0</v>
      </c>
      <c r="J63" s="61">
        <f>+контингент!K63-бюджет!I63</f>
        <v>0</v>
      </c>
      <c r="K63" s="61">
        <f>+контингент!L63-бюджет!J63</f>
        <v>0</v>
      </c>
      <c r="L63" s="61">
        <f>+контингент!N63-бюджет!K63</f>
        <v>0</v>
      </c>
      <c r="M63" s="61">
        <f>+контингент!O63-бюджет!L63</f>
        <v>8</v>
      </c>
      <c r="N63" s="61">
        <f>+контингент!P63-бюджет!M63</f>
        <v>0</v>
      </c>
      <c r="O63" s="61">
        <f>+контингент!Q63-бюджет!N63</f>
        <v>0</v>
      </c>
      <c r="P63" s="61">
        <f>+контингент!S63-бюджет!O63</f>
        <v>8</v>
      </c>
      <c r="Q63" s="61">
        <f>+контингент!T63-бюджет!P63</f>
        <v>18</v>
      </c>
      <c r="R63" s="61">
        <f>+контингент!U63-бюджет!Q63</f>
        <v>0</v>
      </c>
      <c r="S63" s="61">
        <f>+контингент!V63-бюджет!R63</f>
        <v>0</v>
      </c>
      <c r="T63" s="61">
        <f>+контингент!X63-бюджет!S63</f>
        <v>18</v>
      </c>
      <c r="U63" s="61">
        <f>+контингент!Y63-бюджет!T63</f>
        <v>26</v>
      </c>
      <c r="V63" s="61">
        <f>+контингент!Z63-бюджет!U63</f>
        <v>0</v>
      </c>
      <c r="W63" s="61">
        <f>+контингент!AA63-бюджет!V63</f>
        <v>0</v>
      </c>
      <c r="X63" s="33">
        <f t="shared" si="12"/>
        <v>26</v>
      </c>
    </row>
    <row r="64" spans="1:24" s="27" customFormat="1" ht="15">
      <c r="A64" s="60">
        <v>51</v>
      </c>
      <c r="B64" s="31"/>
      <c r="C64" s="136">
        <v>60110500</v>
      </c>
      <c r="D64" s="93" t="s">
        <v>112</v>
      </c>
      <c r="E64" s="61">
        <f>+контингент!E64-бюджет!D64</f>
        <v>0</v>
      </c>
      <c r="F64" s="61">
        <f>+контингент!F64-бюджет!E64</f>
        <v>0</v>
      </c>
      <c r="G64" s="61">
        <f>+контингент!G64-бюджет!F64</f>
        <v>0</v>
      </c>
      <c r="H64" s="61">
        <f>+контингент!I64-бюджет!G64</f>
        <v>0</v>
      </c>
      <c r="I64" s="61">
        <f>+контингент!J64-бюджет!H64</f>
        <v>0</v>
      </c>
      <c r="J64" s="61">
        <f>+контингент!K64-бюджет!I64</f>
        <v>0</v>
      </c>
      <c r="K64" s="61">
        <f>+контингент!L64-бюджет!J64</f>
        <v>0</v>
      </c>
      <c r="L64" s="61">
        <f>+контингент!N64-бюджет!K64</f>
        <v>0</v>
      </c>
      <c r="M64" s="61">
        <f>+контингент!O64-бюджет!L64</f>
        <v>0</v>
      </c>
      <c r="N64" s="61">
        <f>+контингент!P64-бюджет!M64</f>
        <v>0</v>
      </c>
      <c r="O64" s="61">
        <f>+контингент!Q64-бюджет!N64</f>
        <v>0</v>
      </c>
      <c r="P64" s="61">
        <f>+контингент!S64-бюджет!O64</f>
        <v>0</v>
      </c>
      <c r="Q64" s="61">
        <f>+контингент!T64-бюджет!P64</f>
        <v>271</v>
      </c>
      <c r="R64" s="61">
        <f>+контингент!U64-бюджет!Q64</f>
        <v>42</v>
      </c>
      <c r="S64" s="61">
        <f>+контингент!V64-бюджет!R64</f>
        <v>33</v>
      </c>
      <c r="T64" s="61">
        <f>+контингент!X64-бюджет!S64</f>
        <v>346</v>
      </c>
      <c r="U64" s="61">
        <f>+контингент!Y64-бюджет!T64</f>
        <v>271</v>
      </c>
      <c r="V64" s="61">
        <f>+контингент!Z64-бюджет!U64</f>
        <v>42</v>
      </c>
      <c r="W64" s="61">
        <f>+контингент!AA64-бюджет!V64</f>
        <v>33</v>
      </c>
      <c r="X64" s="14">
        <f>U64+V64+W64</f>
        <v>346</v>
      </c>
    </row>
    <row r="65" spans="1:24" s="3" customFormat="1" ht="14.25">
      <c r="A65" s="95">
        <v>10</v>
      </c>
      <c r="B65" s="17" t="s">
        <v>38</v>
      </c>
      <c r="C65" s="161"/>
      <c r="D65" s="149" t="s">
        <v>38</v>
      </c>
      <c r="E65" s="109">
        <f>+E66+E67+E68</f>
        <v>89</v>
      </c>
      <c r="F65" s="109">
        <f aca="true" t="shared" si="13" ref="F65:X65">+F66+F67+F68</f>
        <v>6</v>
      </c>
      <c r="G65" s="109">
        <f t="shared" si="13"/>
        <v>0</v>
      </c>
      <c r="H65" s="109">
        <f t="shared" si="13"/>
        <v>95</v>
      </c>
      <c r="I65" s="109">
        <f t="shared" si="13"/>
        <v>193</v>
      </c>
      <c r="J65" s="109">
        <f t="shared" si="13"/>
        <v>0</v>
      </c>
      <c r="K65" s="109">
        <f t="shared" si="13"/>
        <v>0</v>
      </c>
      <c r="L65" s="109">
        <f t="shared" si="13"/>
        <v>193</v>
      </c>
      <c r="M65" s="109">
        <f t="shared" si="13"/>
        <v>220</v>
      </c>
      <c r="N65" s="109">
        <f t="shared" si="13"/>
        <v>20</v>
      </c>
      <c r="O65" s="109">
        <f t="shared" si="13"/>
        <v>0</v>
      </c>
      <c r="P65" s="109">
        <f t="shared" si="13"/>
        <v>240</v>
      </c>
      <c r="Q65" s="109">
        <f t="shared" si="13"/>
        <v>299</v>
      </c>
      <c r="R65" s="109">
        <f t="shared" si="13"/>
        <v>29</v>
      </c>
      <c r="S65" s="109">
        <f t="shared" si="13"/>
        <v>15</v>
      </c>
      <c r="T65" s="109">
        <f t="shared" si="13"/>
        <v>343</v>
      </c>
      <c r="U65" s="109">
        <f t="shared" si="13"/>
        <v>801</v>
      </c>
      <c r="V65" s="109">
        <f t="shared" si="13"/>
        <v>55</v>
      </c>
      <c r="W65" s="109">
        <f t="shared" si="13"/>
        <v>15</v>
      </c>
      <c r="X65" s="109">
        <f t="shared" si="13"/>
        <v>871</v>
      </c>
    </row>
    <row r="66" spans="1:24" ht="15">
      <c r="A66" s="60">
        <v>52</v>
      </c>
      <c r="B66" s="35" t="s">
        <v>17</v>
      </c>
      <c r="C66" s="136">
        <v>60220300</v>
      </c>
      <c r="D66" s="52" t="s">
        <v>17</v>
      </c>
      <c r="E66" s="61">
        <f>+контингент!E66-бюджет!D66</f>
        <v>72</v>
      </c>
      <c r="F66" s="61">
        <f>+контингент!F66-бюджет!E66</f>
        <v>6</v>
      </c>
      <c r="G66" s="61">
        <f>+контингент!G66-бюджет!F66</f>
        <v>0</v>
      </c>
      <c r="H66" s="61">
        <f>+контингент!I66-бюджет!G66</f>
        <v>78</v>
      </c>
      <c r="I66" s="61">
        <f>+контингент!J66-бюджет!H66</f>
        <v>178</v>
      </c>
      <c r="J66" s="61">
        <f>+контингент!K66-бюджет!I66</f>
        <v>0</v>
      </c>
      <c r="K66" s="61">
        <f>+контингент!L66-бюджет!J66</f>
        <v>0</v>
      </c>
      <c r="L66" s="61">
        <f>+контингент!N66-бюджет!K66</f>
        <v>178</v>
      </c>
      <c r="M66" s="61">
        <f>+контингент!O66-бюджет!L66</f>
        <v>197</v>
      </c>
      <c r="N66" s="61">
        <f>+контингент!P66-бюджет!M66</f>
        <v>20</v>
      </c>
      <c r="O66" s="61">
        <f>+контингент!Q66-бюджет!N66</f>
        <v>0</v>
      </c>
      <c r="P66" s="61">
        <f>+контингент!S66-бюджет!O66</f>
        <v>217</v>
      </c>
      <c r="Q66" s="61">
        <f>+контингент!T66-бюджет!P66</f>
        <v>124</v>
      </c>
      <c r="R66" s="61">
        <f>+контингент!U66-бюджет!Q66</f>
        <v>29</v>
      </c>
      <c r="S66" s="61">
        <f>+контингент!V66-бюджет!R66</f>
        <v>0</v>
      </c>
      <c r="T66" s="61">
        <f>+контингент!X66-бюджет!S66</f>
        <v>153</v>
      </c>
      <c r="U66" s="61">
        <f>+контингент!Y66-бюджет!T66</f>
        <v>571</v>
      </c>
      <c r="V66" s="61">
        <f>+контингент!Z66-бюджет!U66</f>
        <v>55</v>
      </c>
      <c r="W66" s="61">
        <f>+контингент!AA66-бюджет!V66</f>
        <v>0</v>
      </c>
      <c r="X66" s="33">
        <f>U66+V66+W66</f>
        <v>626</v>
      </c>
    </row>
    <row r="67" spans="1:24" ht="15">
      <c r="A67" s="60">
        <v>53</v>
      </c>
      <c r="B67" s="35" t="s">
        <v>24</v>
      </c>
      <c r="C67" s="136">
        <v>60220400</v>
      </c>
      <c r="D67" s="69" t="s">
        <v>24</v>
      </c>
      <c r="E67" s="61">
        <f>+контингент!E67-бюджет!D67</f>
        <v>17</v>
      </c>
      <c r="F67" s="61">
        <f>+контингент!F67-бюджет!E67</f>
        <v>0</v>
      </c>
      <c r="G67" s="61">
        <f>+контингент!G67-бюджет!F67</f>
        <v>0</v>
      </c>
      <c r="H67" s="61">
        <f>+контингент!I67-бюджет!G67</f>
        <v>17</v>
      </c>
      <c r="I67" s="61">
        <f>+контингент!J67-бюджет!H67</f>
        <v>15</v>
      </c>
      <c r="J67" s="61">
        <f>+контингент!K67-бюджет!I67</f>
        <v>0</v>
      </c>
      <c r="K67" s="61">
        <f>+контингент!L67-бюджет!J67</f>
        <v>0</v>
      </c>
      <c r="L67" s="61">
        <f>+контингент!N67-бюджет!K67</f>
        <v>15</v>
      </c>
      <c r="M67" s="61">
        <f>+контингент!O67-бюджет!L67</f>
        <v>23</v>
      </c>
      <c r="N67" s="61">
        <f>+контингент!P67-бюджет!M67</f>
        <v>0</v>
      </c>
      <c r="O67" s="61">
        <f>+контингент!Q67-бюджет!N67</f>
        <v>0</v>
      </c>
      <c r="P67" s="61">
        <f>+контингент!S67-бюджет!O67</f>
        <v>23</v>
      </c>
      <c r="Q67" s="61">
        <f>+контингент!T67-бюджет!P67</f>
        <v>28</v>
      </c>
      <c r="R67" s="61">
        <f>+контингент!U67-бюджет!Q67</f>
        <v>0</v>
      </c>
      <c r="S67" s="61">
        <f>+контингент!V67-бюджет!R67</f>
        <v>0</v>
      </c>
      <c r="T67" s="61">
        <f>+контингент!X67-бюджет!S67</f>
        <v>28</v>
      </c>
      <c r="U67" s="61">
        <f>+контингент!Y67-бюджет!T67</f>
        <v>83</v>
      </c>
      <c r="V67" s="61">
        <f>+контингент!Z67-бюджет!U67</f>
        <v>0</v>
      </c>
      <c r="W67" s="61">
        <f>+контингент!AA67-бюджет!V67</f>
        <v>0</v>
      </c>
      <c r="X67" s="33">
        <f>U67+V67+W67</f>
        <v>83</v>
      </c>
    </row>
    <row r="68" spans="1:24" ht="15">
      <c r="A68" s="60">
        <v>54</v>
      </c>
      <c r="B68" s="35"/>
      <c r="C68" s="136">
        <v>60111100</v>
      </c>
      <c r="D68" s="93" t="s">
        <v>17</v>
      </c>
      <c r="E68" s="61">
        <f>+контингент!E68-бюджет!D68</f>
        <v>0</v>
      </c>
      <c r="F68" s="61">
        <f>+контингент!F68-бюджет!E68</f>
        <v>0</v>
      </c>
      <c r="G68" s="61">
        <f>+контингент!G68-бюджет!F68</f>
        <v>0</v>
      </c>
      <c r="H68" s="61">
        <f>+контингент!I68-бюджет!G68</f>
        <v>0</v>
      </c>
      <c r="I68" s="61">
        <f>+контингент!J68-бюджет!H68</f>
        <v>0</v>
      </c>
      <c r="J68" s="61">
        <f>+контингент!K68-бюджет!I68</f>
        <v>0</v>
      </c>
      <c r="K68" s="61">
        <f>+контингент!L68-бюджет!J68</f>
        <v>0</v>
      </c>
      <c r="L68" s="61">
        <f>+контингент!N68-бюджет!K68</f>
        <v>0</v>
      </c>
      <c r="M68" s="61">
        <f>+контингент!O68-бюджет!L68</f>
        <v>0</v>
      </c>
      <c r="N68" s="61">
        <f>+контингент!P68-бюджет!M68</f>
        <v>0</v>
      </c>
      <c r="O68" s="61">
        <f>+контингент!Q68-бюджет!N68</f>
        <v>0</v>
      </c>
      <c r="P68" s="61">
        <f>+контингент!S68-бюджет!O68</f>
        <v>0</v>
      </c>
      <c r="Q68" s="61">
        <f>+контингент!T68-бюджет!P68</f>
        <v>147</v>
      </c>
      <c r="R68" s="61">
        <f>+контингент!U68-бюджет!Q68</f>
        <v>0</v>
      </c>
      <c r="S68" s="61">
        <f>+контингент!V68-бюджет!R68</f>
        <v>15</v>
      </c>
      <c r="T68" s="61">
        <f>+контингент!X68-бюджет!S68</f>
        <v>162</v>
      </c>
      <c r="U68" s="61">
        <f>+контингент!Y68-бюджет!T68</f>
        <v>147</v>
      </c>
      <c r="V68" s="61">
        <f>+контингент!Z68-бюджет!U68</f>
        <v>0</v>
      </c>
      <c r="W68" s="61">
        <f>+контингент!AA68-бюджет!V68</f>
        <v>15</v>
      </c>
      <c r="X68" s="33">
        <f>U68+V68+W68</f>
        <v>162</v>
      </c>
    </row>
    <row r="69" spans="1:24" ht="14.25">
      <c r="A69" s="95">
        <v>11</v>
      </c>
      <c r="B69" s="10"/>
      <c r="C69" s="161"/>
      <c r="D69" s="160" t="s">
        <v>117</v>
      </c>
      <c r="E69" s="109">
        <f>+E70</f>
        <v>0</v>
      </c>
      <c r="F69" s="109">
        <f aca="true" t="shared" si="14" ref="F69:X69">+F70</f>
        <v>0</v>
      </c>
      <c r="G69" s="109">
        <f t="shared" si="14"/>
        <v>0</v>
      </c>
      <c r="H69" s="109">
        <f t="shared" si="14"/>
        <v>0</v>
      </c>
      <c r="I69" s="109">
        <f t="shared" si="14"/>
        <v>83</v>
      </c>
      <c r="J69" s="109">
        <f t="shared" si="14"/>
        <v>0</v>
      </c>
      <c r="K69" s="109">
        <f t="shared" si="14"/>
        <v>0</v>
      </c>
      <c r="L69" s="109">
        <f t="shared" si="14"/>
        <v>83</v>
      </c>
      <c r="M69" s="109">
        <f t="shared" si="14"/>
        <v>142</v>
      </c>
      <c r="N69" s="109">
        <f t="shared" si="14"/>
        <v>0</v>
      </c>
      <c r="O69" s="109">
        <f t="shared" si="14"/>
        <v>0</v>
      </c>
      <c r="P69" s="109">
        <f t="shared" si="14"/>
        <v>142</v>
      </c>
      <c r="Q69" s="109">
        <f t="shared" si="14"/>
        <v>66</v>
      </c>
      <c r="R69" s="109">
        <f t="shared" si="14"/>
        <v>29</v>
      </c>
      <c r="S69" s="109">
        <f t="shared" si="14"/>
        <v>0</v>
      </c>
      <c r="T69" s="109">
        <f t="shared" si="14"/>
        <v>95</v>
      </c>
      <c r="U69" s="109">
        <f t="shared" si="14"/>
        <v>291</v>
      </c>
      <c r="V69" s="109">
        <f t="shared" si="14"/>
        <v>29</v>
      </c>
      <c r="W69" s="109">
        <f t="shared" si="14"/>
        <v>0</v>
      </c>
      <c r="X69" s="109">
        <f t="shared" si="14"/>
        <v>320</v>
      </c>
    </row>
    <row r="70" spans="1:24" ht="15">
      <c r="A70" s="60">
        <v>55</v>
      </c>
      <c r="B70" s="10"/>
      <c r="C70" s="136">
        <v>60420100</v>
      </c>
      <c r="D70" s="78" t="s">
        <v>106</v>
      </c>
      <c r="E70" s="61">
        <f>+контингент!E70-бюджет!D70</f>
        <v>0</v>
      </c>
      <c r="F70" s="61">
        <f>+контингент!F70-бюджет!E70</f>
        <v>0</v>
      </c>
      <c r="G70" s="61">
        <f>+контингент!G70-бюджет!F70</f>
        <v>0</v>
      </c>
      <c r="H70" s="61">
        <f>+контингент!I70-бюджет!G70</f>
        <v>0</v>
      </c>
      <c r="I70" s="61">
        <f>+контингент!J70-бюджет!H70</f>
        <v>83</v>
      </c>
      <c r="J70" s="61">
        <f>+контингент!K70-бюджет!I70</f>
        <v>0</v>
      </c>
      <c r="K70" s="61">
        <f>+контингент!L70-бюджет!J70</f>
        <v>0</v>
      </c>
      <c r="L70" s="61">
        <f>+контингент!N70-бюджет!K70</f>
        <v>83</v>
      </c>
      <c r="M70" s="61">
        <f>+контингент!O70-бюджет!L70</f>
        <v>142</v>
      </c>
      <c r="N70" s="61">
        <f>+контингент!P70-бюджет!M70</f>
        <v>0</v>
      </c>
      <c r="O70" s="61">
        <f>+контингент!Q70-бюджет!N70</f>
        <v>0</v>
      </c>
      <c r="P70" s="61">
        <f>+контингент!S70-бюджет!O70</f>
        <v>142</v>
      </c>
      <c r="Q70" s="61">
        <f>+контингент!T70-бюджет!P70</f>
        <v>66</v>
      </c>
      <c r="R70" s="61">
        <f>+контингент!U70-бюджет!Q70</f>
        <v>29</v>
      </c>
      <c r="S70" s="61">
        <f>+контингент!V70-бюджет!R70</f>
        <v>0</v>
      </c>
      <c r="T70" s="61">
        <f>+контингент!X70-бюджет!S70</f>
        <v>95</v>
      </c>
      <c r="U70" s="61">
        <f>+контингент!Y70-бюджет!T70</f>
        <v>291</v>
      </c>
      <c r="V70" s="61">
        <f>+контингент!Z70-бюджет!U70</f>
        <v>29</v>
      </c>
      <c r="W70" s="61">
        <f>+контингент!AA70-бюджет!V70</f>
        <v>0</v>
      </c>
      <c r="X70" s="33">
        <f>U70+V70+W70</f>
        <v>320</v>
      </c>
    </row>
    <row r="71" spans="1:24" ht="22.5">
      <c r="A71" s="95">
        <v>12</v>
      </c>
      <c r="B71" s="10"/>
      <c r="C71" s="161"/>
      <c r="D71" s="160" t="s">
        <v>134</v>
      </c>
      <c r="E71" s="109">
        <f>E72+E73+E74+E75+E76+E77+E78+E79</f>
        <v>52</v>
      </c>
      <c r="F71" s="109">
        <f aca="true" t="shared" si="15" ref="F71:X71">F72+F73+F74+F75+F76+F77+F78+F79</f>
        <v>0</v>
      </c>
      <c r="G71" s="109">
        <f t="shared" si="15"/>
        <v>0</v>
      </c>
      <c r="H71" s="109">
        <f t="shared" si="15"/>
        <v>52</v>
      </c>
      <c r="I71" s="109">
        <f t="shared" si="15"/>
        <v>81</v>
      </c>
      <c r="J71" s="109">
        <f t="shared" si="15"/>
        <v>0</v>
      </c>
      <c r="K71" s="109">
        <f t="shared" si="15"/>
        <v>0</v>
      </c>
      <c r="L71" s="109">
        <f t="shared" si="15"/>
        <v>81</v>
      </c>
      <c r="M71" s="109">
        <f t="shared" si="15"/>
        <v>85</v>
      </c>
      <c r="N71" s="109">
        <f t="shared" si="15"/>
        <v>0</v>
      </c>
      <c r="O71" s="109">
        <f t="shared" si="15"/>
        <v>0</v>
      </c>
      <c r="P71" s="109">
        <f t="shared" si="15"/>
        <v>85</v>
      </c>
      <c r="Q71" s="109">
        <f t="shared" si="15"/>
        <v>109</v>
      </c>
      <c r="R71" s="109">
        <f t="shared" si="15"/>
        <v>0</v>
      </c>
      <c r="S71" s="109">
        <f t="shared" si="15"/>
        <v>0</v>
      </c>
      <c r="T71" s="109">
        <f t="shared" si="15"/>
        <v>109</v>
      </c>
      <c r="U71" s="109">
        <f t="shared" si="15"/>
        <v>327</v>
      </c>
      <c r="V71" s="109">
        <f t="shared" si="15"/>
        <v>0</v>
      </c>
      <c r="W71" s="109">
        <f t="shared" si="15"/>
        <v>0</v>
      </c>
      <c r="X71" s="109">
        <f t="shared" si="15"/>
        <v>327</v>
      </c>
    </row>
    <row r="72" spans="1:24" ht="15">
      <c r="A72" s="60">
        <v>56</v>
      </c>
      <c r="B72" s="10"/>
      <c r="C72" s="136">
        <v>60812100</v>
      </c>
      <c r="D72" s="52" t="s">
        <v>68</v>
      </c>
      <c r="E72" s="61">
        <f>+контингент!E72-бюджет!D72</f>
        <v>0</v>
      </c>
      <c r="F72" s="61">
        <f>+контингент!F72-бюджет!E72</f>
        <v>0</v>
      </c>
      <c r="G72" s="61">
        <f>+контингент!G72-бюджет!F72</f>
        <v>0</v>
      </c>
      <c r="H72" s="61">
        <f>+контингент!I72-бюджет!G72</f>
        <v>0</v>
      </c>
      <c r="I72" s="61">
        <f>+контингент!J72-бюджет!H72</f>
        <v>12</v>
      </c>
      <c r="J72" s="61">
        <f>+контингент!K72-бюджет!I72</f>
        <v>0</v>
      </c>
      <c r="K72" s="61">
        <f>+контингент!L72-бюджет!J72</f>
        <v>0</v>
      </c>
      <c r="L72" s="61">
        <f>+контингент!N72-бюджет!K72</f>
        <v>12</v>
      </c>
      <c r="M72" s="61">
        <f>+контингент!O72-бюджет!L72</f>
        <v>0</v>
      </c>
      <c r="N72" s="61">
        <f>+контингент!P72-бюджет!M72</f>
        <v>0</v>
      </c>
      <c r="O72" s="61">
        <f>+контингент!Q72-бюджет!N72</f>
        <v>0</v>
      </c>
      <c r="P72" s="61">
        <f>+контингент!S72-бюджет!O72</f>
        <v>0</v>
      </c>
      <c r="Q72" s="61">
        <f>+контингент!T72-бюджет!P72</f>
        <v>0</v>
      </c>
      <c r="R72" s="61">
        <f>+контингент!U72-бюджет!Q72</f>
        <v>0</v>
      </c>
      <c r="S72" s="61">
        <f>+контингент!V72-бюджет!R72</f>
        <v>0</v>
      </c>
      <c r="T72" s="61">
        <f>+контингент!X72-бюджет!S72</f>
        <v>0</v>
      </c>
      <c r="U72" s="61">
        <f>+контингент!Y72-бюджет!T72</f>
        <v>12</v>
      </c>
      <c r="V72" s="61">
        <f>+контингент!Z72-бюджет!U72</f>
        <v>0</v>
      </c>
      <c r="W72" s="61">
        <f>+контингент!AA72-бюджет!V72</f>
        <v>0</v>
      </c>
      <c r="X72" s="33">
        <f aca="true" t="shared" si="16" ref="X72:X79">U72+V72+W72</f>
        <v>12</v>
      </c>
    </row>
    <row r="73" spans="1:24" ht="15">
      <c r="A73" s="60">
        <v>57</v>
      </c>
      <c r="B73" s="10"/>
      <c r="C73" s="165">
        <v>60820100</v>
      </c>
      <c r="D73" s="164" t="s">
        <v>139</v>
      </c>
      <c r="E73" s="61">
        <f>+контингент!E73-бюджет!D73</f>
        <v>10</v>
      </c>
      <c r="F73" s="61">
        <f>+контингент!F73-бюджет!E73</f>
        <v>0</v>
      </c>
      <c r="G73" s="61">
        <f>+контингент!G73-бюджет!F73</f>
        <v>0</v>
      </c>
      <c r="H73" s="61">
        <f>+контингент!I73-бюджет!G73</f>
        <v>10</v>
      </c>
      <c r="I73" s="61">
        <f>+контингент!J73-бюджет!H73</f>
        <v>0</v>
      </c>
      <c r="J73" s="61">
        <f>+контингент!K73-бюджет!I73</f>
        <v>0</v>
      </c>
      <c r="K73" s="61">
        <f>+контингент!L73-бюджет!J73</f>
        <v>0</v>
      </c>
      <c r="L73" s="61">
        <f>+контингент!N73-бюджет!K73</f>
        <v>0</v>
      </c>
      <c r="M73" s="61">
        <f>+контингент!O73-бюджет!L73</f>
        <v>0</v>
      </c>
      <c r="N73" s="61">
        <f>+контингент!P73-бюджет!M73</f>
        <v>0</v>
      </c>
      <c r="O73" s="61">
        <f>+контингент!Q73-бюджет!N73</f>
        <v>0</v>
      </c>
      <c r="P73" s="61">
        <f>+контингент!S73-бюджет!O73</f>
        <v>0</v>
      </c>
      <c r="Q73" s="61">
        <f>+контингент!T73-бюджет!P73</f>
        <v>0</v>
      </c>
      <c r="R73" s="61">
        <f>+контингент!U73-бюджет!Q73</f>
        <v>0</v>
      </c>
      <c r="S73" s="61">
        <f>+контингент!V73-бюджет!R73</f>
        <v>0</v>
      </c>
      <c r="T73" s="61">
        <f>+контингент!X73-бюджет!S73</f>
        <v>0</v>
      </c>
      <c r="U73" s="61">
        <f>+контингент!Y73-бюджет!T73</f>
        <v>10</v>
      </c>
      <c r="V73" s="61">
        <f>+контингент!Z73-бюджет!U73</f>
        <v>0</v>
      </c>
      <c r="W73" s="61">
        <f>+контингент!AA73-бюджет!V73</f>
        <v>0</v>
      </c>
      <c r="X73" s="33">
        <f t="shared" si="16"/>
        <v>10</v>
      </c>
    </row>
    <row r="74" spans="1:24" ht="15">
      <c r="A74" s="60">
        <v>58</v>
      </c>
      <c r="B74" s="10"/>
      <c r="C74" s="136">
        <v>60810700</v>
      </c>
      <c r="D74" s="78" t="s">
        <v>80</v>
      </c>
      <c r="E74" s="61">
        <f>+контингент!E74-бюджет!D74</f>
        <v>17</v>
      </c>
      <c r="F74" s="61">
        <f>+контингент!F74-бюджет!E74</f>
        <v>0</v>
      </c>
      <c r="G74" s="61">
        <f>+контингент!G74-бюджет!F74</f>
        <v>0</v>
      </c>
      <c r="H74" s="61">
        <f>+контингент!I74-бюджет!G74</f>
        <v>17</v>
      </c>
      <c r="I74" s="61">
        <f>+контингент!J74-бюджет!H74</f>
        <v>17</v>
      </c>
      <c r="J74" s="61">
        <f>+контингент!K74-бюджет!I74</f>
        <v>0</v>
      </c>
      <c r="K74" s="61">
        <f>+контингент!L74-бюджет!J74</f>
        <v>0</v>
      </c>
      <c r="L74" s="61">
        <f>+контингент!N74-бюджет!K74</f>
        <v>17</v>
      </c>
      <c r="M74" s="61">
        <f>+контингент!O74-бюджет!L74</f>
        <v>25</v>
      </c>
      <c r="N74" s="61">
        <f>+контингент!P74-бюджет!M74</f>
        <v>0</v>
      </c>
      <c r="O74" s="61">
        <f>+контингент!Q74-бюджет!N74</f>
        <v>0</v>
      </c>
      <c r="P74" s="61">
        <f>+контингент!S74-бюджет!O74</f>
        <v>25</v>
      </c>
      <c r="Q74" s="61">
        <f>+контингент!T74-бюджет!P74</f>
        <v>37</v>
      </c>
      <c r="R74" s="61">
        <f>+контингент!U74-бюджет!Q74</f>
        <v>0</v>
      </c>
      <c r="S74" s="61">
        <f>+контингент!V74-бюджет!R74</f>
        <v>0</v>
      </c>
      <c r="T74" s="61">
        <f>+контингент!X74-бюджет!S74</f>
        <v>37</v>
      </c>
      <c r="U74" s="61">
        <f>+контингент!Y74-бюджет!T74</f>
        <v>96</v>
      </c>
      <c r="V74" s="61">
        <f>+контингент!Z74-бюджет!U74</f>
        <v>0</v>
      </c>
      <c r="W74" s="61">
        <f>+контингент!AA74-бюджет!V74</f>
        <v>0</v>
      </c>
      <c r="X74" s="33">
        <f t="shared" si="16"/>
        <v>96</v>
      </c>
    </row>
    <row r="75" spans="1:24" ht="15">
      <c r="A75" s="60">
        <v>59</v>
      </c>
      <c r="B75" s="10"/>
      <c r="C75" s="136">
        <v>60811000</v>
      </c>
      <c r="D75" s="93" t="s">
        <v>107</v>
      </c>
      <c r="E75" s="61">
        <f>+контингент!E75-бюджет!D75</f>
        <v>14</v>
      </c>
      <c r="F75" s="61">
        <f>+контингент!F75-бюджет!E75</f>
        <v>0</v>
      </c>
      <c r="G75" s="61">
        <f>+контингент!G75-бюджет!F75</f>
        <v>0</v>
      </c>
      <c r="H75" s="61">
        <f>+контингент!I75-бюджет!G75</f>
        <v>14</v>
      </c>
      <c r="I75" s="61">
        <f>+контингент!J75-бюджет!H75</f>
        <v>20</v>
      </c>
      <c r="J75" s="61">
        <f>+контингент!K75-бюджет!I75</f>
        <v>0</v>
      </c>
      <c r="K75" s="61">
        <f>+контингент!L75-бюджет!J75</f>
        <v>0</v>
      </c>
      <c r="L75" s="61">
        <f>+контингент!N75-бюджет!K75</f>
        <v>20</v>
      </c>
      <c r="M75" s="61">
        <f>+контингент!O75-бюджет!L75</f>
        <v>32</v>
      </c>
      <c r="N75" s="61">
        <f>+контингент!P75-бюджет!M75</f>
        <v>0</v>
      </c>
      <c r="O75" s="61">
        <f>+контингент!Q75-бюджет!N75</f>
        <v>0</v>
      </c>
      <c r="P75" s="61">
        <f>+контингент!S75-бюджет!O75</f>
        <v>32</v>
      </c>
      <c r="Q75" s="61">
        <f>+контингент!T75-бюджет!P75</f>
        <v>39</v>
      </c>
      <c r="R75" s="61">
        <f>+контингент!U75-бюджет!Q75</f>
        <v>0</v>
      </c>
      <c r="S75" s="61">
        <f>+контингент!V75-бюджет!R75</f>
        <v>0</v>
      </c>
      <c r="T75" s="61">
        <f>+контингент!X75-бюджет!S75</f>
        <v>39</v>
      </c>
      <c r="U75" s="61">
        <f>+контингент!Y75-бюджет!T75</f>
        <v>105</v>
      </c>
      <c r="V75" s="61">
        <f>+контингент!Z75-бюджет!U75</f>
        <v>0</v>
      </c>
      <c r="W75" s="61">
        <f>+контингент!AA75-бюджет!V75</f>
        <v>0</v>
      </c>
      <c r="X75" s="33">
        <f t="shared" si="16"/>
        <v>105</v>
      </c>
    </row>
    <row r="76" spans="1:24" ht="15">
      <c r="A76" s="60">
        <v>60</v>
      </c>
      <c r="B76" s="10"/>
      <c r="C76" s="136">
        <v>60811800</v>
      </c>
      <c r="D76" s="93" t="s">
        <v>108</v>
      </c>
      <c r="E76" s="61">
        <f>+контингент!E76-бюджет!D76</f>
        <v>6</v>
      </c>
      <c r="F76" s="61">
        <f>+контингент!F76-бюджет!E76</f>
        <v>0</v>
      </c>
      <c r="G76" s="61">
        <f>+контингент!G76-бюджет!F76</f>
        <v>0</v>
      </c>
      <c r="H76" s="61">
        <f>+контингент!I76-бюджет!G76</f>
        <v>6</v>
      </c>
      <c r="I76" s="61">
        <f>+контингент!J76-бюджет!H76</f>
        <v>3</v>
      </c>
      <c r="J76" s="61">
        <f>+контингент!K76-бюджет!I76</f>
        <v>0</v>
      </c>
      <c r="K76" s="61">
        <f>+контингент!L76-бюджет!J76</f>
        <v>0</v>
      </c>
      <c r="L76" s="61">
        <f>+контингент!N76-бюджет!K76</f>
        <v>3</v>
      </c>
      <c r="M76" s="61">
        <f>+контингент!O76-бюджет!L76</f>
        <v>7</v>
      </c>
      <c r="N76" s="61">
        <f>+контингент!P76-бюджет!M76</f>
        <v>0</v>
      </c>
      <c r="O76" s="61">
        <f>+контингент!Q76-бюджет!N76</f>
        <v>0</v>
      </c>
      <c r="P76" s="61">
        <f>+контингент!S76-бюджет!O76</f>
        <v>7</v>
      </c>
      <c r="Q76" s="61">
        <f>+контингент!T76-бюджет!P76</f>
        <v>10</v>
      </c>
      <c r="R76" s="61">
        <f>+контингент!U76-бюджет!Q76</f>
        <v>0</v>
      </c>
      <c r="S76" s="61">
        <f>+контингент!V76-бюджет!R76</f>
        <v>0</v>
      </c>
      <c r="T76" s="61">
        <f>+контингент!X76-бюджет!S76</f>
        <v>10</v>
      </c>
      <c r="U76" s="61">
        <f>+контингент!Y76-бюджет!T76</f>
        <v>26</v>
      </c>
      <c r="V76" s="61">
        <f>+контингент!Z76-бюджет!U76</f>
        <v>0</v>
      </c>
      <c r="W76" s="61">
        <f>+контингент!AA76-бюджет!V76</f>
        <v>0</v>
      </c>
      <c r="X76" s="33">
        <f t="shared" si="16"/>
        <v>26</v>
      </c>
    </row>
    <row r="77" spans="1:24" ht="15">
      <c r="A77" s="60">
        <v>61</v>
      </c>
      <c r="B77" s="10"/>
      <c r="C77" s="136">
        <v>60811900</v>
      </c>
      <c r="D77" s="93" t="s">
        <v>109</v>
      </c>
      <c r="E77" s="61">
        <f>+контингент!E77-бюджет!D77</f>
        <v>0</v>
      </c>
      <c r="F77" s="61">
        <f>+контингент!F77-бюджет!E77</f>
        <v>0</v>
      </c>
      <c r="G77" s="61">
        <f>+контингент!G77-бюджет!F77</f>
        <v>0</v>
      </c>
      <c r="H77" s="61">
        <f>+контингент!I77-бюджет!G77</f>
        <v>0</v>
      </c>
      <c r="I77" s="61">
        <f>+контингент!J77-бюджет!H77</f>
        <v>8</v>
      </c>
      <c r="J77" s="61">
        <f>+контингент!K77-бюджет!I77</f>
        <v>0</v>
      </c>
      <c r="K77" s="61">
        <f>+контингент!L77-бюджет!J77</f>
        <v>0</v>
      </c>
      <c r="L77" s="61">
        <f>+контингент!N77-бюджет!K77</f>
        <v>8</v>
      </c>
      <c r="M77" s="61">
        <f>+контингент!O77-бюджет!L77</f>
        <v>8</v>
      </c>
      <c r="N77" s="61">
        <f>+контингент!P77-бюджет!M77</f>
        <v>0</v>
      </c>
      <c r="O77" s="61">
        <f>+контингент!Q77-бюджет!N77</f>
        <v>0</v>
      </c>
      <c r="P77" s="61">
        <f>+контингент!S77-бюджет!O77</f>
        <v>8</v>
      </c>
      <c r="Q77" s="61">
        <f>+контингент!T77-бюджет!P77</f>
        <v>8</v>
      </c>
      <c r="R77" s="61">
        <f>+контингент!U77-бюджет!Q77</f>
        <v>0</v>
      </c>
      <c r="S77" s="61">
        <f>+контингент!V77-бюджет!R77</f>
        <v>0</v>
      </c>
      <c r="T77" s="61">
        <f>+контингент!X77-бюджет!S77</f>
        <v>8</v>
      </c>
      <c r="U77" s="61">
        <f>+контингент!Y77-бюджет!T77</f>
        <v>24</v>
      </c>
      <c r="V77" s="61">
        <f>+контингент!Z77-бюджет!U77</f>
        <v>0</v>
      </c>
      <c r="W77" s="61">
        <f>+контингент!AA77-бюджет!V77</f>
        <v>0</v>
      </c>
      <c r="X77" s="33">
        <f t="shared" si="16"/>
        <v>24</v>
      </c>
    </row>
    <row r="78" spans="1:24" ht="15">
      <c r="A78" s="60">
        <v>62</v>
      </c>
      <c r="B78" s="10"/>
      <c r="C78" s="136">
        <v>60812000</v>
      </c>
      <c r="D78" s="93" t="s">
        <v>110</v>
      </c>
      <c r="E78" s="61">
        <f>+контингент!E78-бюджет!D78</f>
        <v>0</v>
      </c>
      <c r="F78" s="61">
        <f>+контингент!F78-бюджет!E78</f>
        <v>0</v>
      </c>
      <c r="G78" s="61">
        <f>+контингент!G78-бюджет!F78</f>
        <v>0</v>
      </c>
      <c r="H78" s="61">
        <f>+контингент!I78-бюджет!G78</f>
        <v>0</v>
      </c>
      <c r="I78" s="61">
        <f>+контингент!J78-бюджет!H78</f>
        <v>9</v>
      </c>
      <c r="J78" s="61">
        <f>+контингент!K78-бюджет!I78</f>
        <v>0</v>
      </c>
      <c r="K78" s="61">
        <f>+контингент!L78-бюджет!J78</f>
        <v>0</v>
      </c>
      <c r="L78" s="61">
        <f>+контингент!N78-бюджет!K78</f>
        <v>9</v>
      </c>
      <c r="M78" s="61">
        <f>+контингент!O78-бюджет!L78</f>
        <v>13</v>
      </c>
      <c r="N78" s="61">
        <f>+контингент!P78-бюджет!M78</f>
        <v>0</v>
      </c>
      <c r="O78" s="61">
        <f>+контингент!Q78-бюджет!N78</f>
        <v>0</v>
      </c>
      <c r="P78" s="61">
        <f>+контингент!S78-бюджет!O78</f>
        <v>13</v>
      </c>
      <c r="Q78" s="61">
        <f>+контингент!T78-бюджет!P78</f>
        <v>15</v>
      </c>
      <c r="R78" s="61">
        <f>+контингент!U78-бюджет!Q78</f>
        <v>0</v>
      </c>
      <c r="S78" s="61">
        <f>+контингент!V78-бюджет!R78</f>
        <v>0</v>
      </c>
      <c r="T78" s="61">
        <f>+контингент!X78-бюджет!S78</f>
        <v>15</v>
      </c>
      <c r="U78" s="61">
        <f>+контингент!Y78-бюджет!T78</f>
        <v>37</v>
      </c>
      <c r="V78" s="61">
        <f>+контингент!Z78-бюджет!U78</f>
        <v>0</v>
      </c>
      <c r="W78" s="61">
        <f>+контингент!AA78-бюджет!V78</f>
        <v>0</v>
      </c>
      <c r="X78" s="33">
        <f t="shared" si="16"/>
        <v>37</v>
      </c>
    </row>
    <row r="79" spans="1:24" ht="22.5">
      <c r="A79" s="60">
        <v>63</v>
      </c>
      <c r="B79" s="10"/>
      <c r="C79" s="94">
        <v>60811200</v>
      </c>
      <c r="D79" s="93" t="s">
        <v>129</v>
      </c>
      <c r="E79" s="61">
        <f>+контингент!E79-бюджет!D79</f>
        <v>5</v>
      </c>
      <c r="F79" s="61">
        <f>+контингент!F79-бюджет!E79</f>
        <v>0</v>
      </c>
      <c r="G79" s="61">
        <f>+контингент!G79-бюджет!F79</f>
        <v>0</v>
      </c>
      <c r="H79" s="61">
        <f>+контингент!I79-бюджет!G79</f>
        <v>5</v>
      </c>
      <c r="I79" s="61">
        <f>+контингент!J79-бюджет!H79</f>
        <v>12</v>
      </c>
      <c r="J79" s="61">
        <f>+контингент!K79-бюджет!I79</f>
        <v>0</v>
      </c>
      <c r="K79" s="61">
        <f>+контингент!L79-бюджет!J79</f>
        <v>0</v>
      </c>
      <c r="L79" s="61">
        <f>+контингент!N79-бюджет!K79</f>
        <v>12</v>
      </c>
      <c r="M79" s="61">
        <f>+контингент!O79-бюджет!L79</f>
        <v>0</v>
      </c>
      <c r="N79" s="61">
        <f>+контингент!P79-бюджет!M79</f>
        <v>0</v>
      </c>
      <c r="O79" s="61">
        <f>+контингент!Q79-бюджет!N79</f>
        <v>0</v>
      </c>
      <c r="P79" s="61">
        <f>+контингент!S79-бюджет!O79</f>
        <v>0</v>
      </c>
      <c r="Q79" s="61">
        <f>+контингент!T79-бюджет!P79</f>
        <v>0</v>
      </c>
      <c r="R79" s="61">
        <f>+контингент!U79-бюджет!Q79</f>
        <v>0</v>
      </c>
      <c r="S79" s="61">
        <f>+контингент!V79-бюджет!R79</f>
        <v>0</v>
      </c>
      <c r="T79" s="61">
        <f>+контингент!X79-бюджет!S79</f>
        <v>0</v>
      </c>
      <c r="U79" s="61">
        <f>+контингент!Y79-бюджет!T79</f>
        <v>17</v>
      </c>
      <c r="V79" s="61">
        <f>+контингент!Z79-бюджет!U79</f>
        <v>0</v>
      </c>
      <c r="W79" s="61">
        <f>+контингент!AA79-бюджет!V79</f>
        <v>0</v>
      </c>
      <c r="X79" s="33">
        <f t="shared" si="16"/>
        <v>17</v>
      </c>
    </row>
    <row r="80" spans="1:25" ht="13.5" customHeight="1">
      <c r="A80" s="11"/>
      <c r="B80" s="17" t="s">
        <v>18</v>
      </c>
      <c r="C80" s="149"/>
      <c r="D80" s="149" t="s">
        <v>18</v>
      </c>
      <c r="E80" s="101">
        <f>+E71+E69+E65+E56+E50+E44+E38+E30+E22+E14+E10+E5</f>
        <v>1020</v>
      </c>
      <c r="F80" s="101">
        <f aca="true" t="shared" si="17" ref="F80:Y80">+F71+F69+F65+F56+F50+F44+F38+F30+F22+F14+F10+F5</f>
        <v>98</v>
      </c>
      <c r="G80" s="101">
        <f t="shared" si="17"/>
        <v>21</v>
      </c>
      <c r="H80" s="101">
        <f t="shared" si="17"/>
        <v>1139</v>
      </c>
      <c r="I80" s="101">
        <f t="shared" si="17"/>
        <v>1286</v>
      </c>
      <c r="J80" s="101">
        <f t="shared" si="17"/>
        <v>134</v>
      </c>
      <c r="K80" s="101">
        <f t="shared" si="17"/>
        <v>19</v>
      </c>
      <c r="L80" s="101">
        <f t="shared" si="17"/>
        <v>1439</v>
      </c>
      <c r="M80" s="101">
        <f t="shared" si="17"/>
        <v>1539</v>
      </c>
      <c r="N80" s="101">
        <f t="shared" si="17"/>
        <v>263</v>
      </c>
      <c r="O80" s="101">
        <f t="shared" si="17"/>
        <v>38</v>
      </c>
      <c r="P80" s="101">
        <f t="shared" si="17"/>
        <v>1840</v>
      </c>
      <c r="Q80" s="101">
        <f t="shared" si="17"/>
        <v>2599</v>
      </c>
      <c r="R80" s="101">
        <f t="shared" si="17"/>
        <v>685</v>
      </c>
      <c r="S80" s="101">
        <f t="shared" si="17"/>
        <v>129</v>
      </c>
      <c r="T80" s="101">
        <f t="shared" si="17"/>
        <v>3413</v>
      </c>
      <c r="U80" s="101">
        <f t="shared" si="17"/>
        <v>6444</v>
      </c>
      <c r="V80" s="101">
        <f t="shared" si="17"/>
        <v>1180</v>
      </c>
      <c r="W80" s="101">
        <f t="shared" si="17"/>
        <v>207</v>
      </c>
      <c r="X80" s="101">
        <f t="shared" si="17"/>
        <v>7831</v>
      </c>
      <c r="Y80" s="101" t="e">
        <f t="shared" si="17"/>
        <v>#VALUE!</v>
      </c>
    </row>
    <row r="81" spans="1:24" ht="12.75">
      <c r="A81" s="1"/>
      <c r="B81" s="12"/>
      <c r="C81" s="12"/>
      <c r="D81" s="1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5"/>
    </row>
    <row r="82" spans="3:5" ht="12.75">
      <c r="C82" s="54"/>
      <c r="D82" s="55"/>
      <c r="E82" s="54"/>
    </row>
    <row r="83" spans="3:5" ht="13.5">
      <c r="C83" s="90">
        <v>1</v>
      </c>
      <c r="D83" s="87" t="s">
        <v>72</v>
      </c>
      <c r="E83" s="92">
        <f>+X23+X24+X26+X27+X66+X67+X55</f>
        <v>1766</v>
      </c>
    </row>
    <row r="84" spans="3:25" ht="27">
      <c r="C84" s="91">
        <v>2</v>
      </c>
      <c r="D84" s="88" t="s">
        <v>94</v>
      </c>
      <c r="E84" s="92">
        <f>+X7+X16+X17+X33+X37+X42+X58+X59+X64+X68+X28+X29</f>
        <v>1457</v>
      </c>
      <c r="Y84">
        <f>10037+бюджет!W80</f>
        <v>12699</v>
      </c>
    </row>
    <row r="85" spans="3:5" ht="13.5">
      <c r="C85" s="91">
        <v>3</v>
      </c>
      <c r="D85" s="87" t="s">
        <v>121</v>
      </c>
      <c r="E85" s="92">
        <f>+X51+X53+X54</f>
        <v>433</v>
      </c>
    </row>
    <row r="86" spans="3:7" ht="13.5">
      <c r="C86" s="90">
        <v>4</v>
      </c>
      <c r="D86" s="87" t="s">
        <v>74</v>
      </c>
      <c r="E86" s="92">
        <f>+X52</f>
        <v>142</v>
      </c>
      <c r="F86">
        <f>+E83+E84+E85+E87+E88+E89+E90+E91+E92+E93+E94+E95+E96</f>
        <v>7689</v>
      </c>
      <c r="G86">
        <f>+X80-F86</f>
        <v>142</v>
      </c>
    </row>
    <row r="87" spans="3:5" ht="13.5">
      <c r="C87" s="91">
        <v>5</v>
      </c>
      <c r="D87" s="87" t="s">
        <v>88</v>
      </c>
      <c r="E87" s="92">
        <f>+X44</f>
        <v>307</v>
      </c>
    </row>
    <row r="88" spans="3:5" ht="13.5">
      <c r="C88" s="91">
        <v>6</v>
      </c>
      <c r="D88" s="87" t="s">
        <v>73</v>
      </c>
      <c r="E88" s="92">
        <f>+X31+X32</f>
        <v>690</v>
      </c>
    </row>
    <row r="89" spans="3:5" ht="13.5">
      <c r="C89" s="90">
        <v>7</v>
      </c>
      <c r="D89" s="87" t="s">
        <v>89</v>
      </c>
      <c r="E89" s="92">
        <f>+X15+X18+X34+X40+X43+X41+X35</f>
        <v>987</v>
      </c>
    </row>
    <row r="90" spans="3:5" ht="13.5">
      <c r="C90" s="91">
        <v>8</v>
      </c>
      <c r="D90" s="87" t="s">
        <v>90</v>
      </c>
      <c r="E90" s="92">
        <f>+X57+X60+X61+X62+X63</f>
        <v>140</v>
      </c>
    </row>
    <row r="91" spans="3:5" ht="13.5">
      <c r="C91" s="91">
        <v>9</v>
      </c>
      <c r="D91" s="87" t="s">
        <v>91</v>
      </c>
      <c r="E91" s="92">
        <f>+X6+X9+X8</f>
        <v>643</v>
      </c>
    </row>
    <row r="92" spans="3:5" ht="13.5">
      <c r="C92" s="90">
        <v>10</v>
      </c>
      <c r="D92" s="89" t="s">
        <v>92</v>
      </c>
      <c r="E92" s="92">
        <f>+X36+X21+X20+X19+X13+X11+X12</f>
        <v>446</v>
      </c>
    </row>
    <row r="93" spans="3:5" ht="13.5">
      <c r="C93" s="91">
        <v>11</v>
      </c>
      <c r="D93" s="89" t="s">
        <v>93</v>
      </c>
      <c r="E93" s="92">
        <f>+X39</f>
        <v>122</v>
      </c>
    </row>
    <row r="94" spans="3:5" ht="13.5">
      <c r="C94" s="90">
        <v>12</v>
      </c>
      <c r="D94" s="89" t="s">
        <v>113</v>
      </c>
      <c r="E94" s="92">
        <f>+X69</f>
        <v>320</v>
      </c>
    </row>
    <row r="95" spans="3:5" ht="13.5">
      <c r="C95" s="90">
        <v>13</v>
      </c>
      <c r="D95" s="89" t="s">
        <v>114</v>
      </c>
      <c r="E95" s="92">
        <f>+X25</f>
        <v>51</v>
      </c>
    </row>
    <row r="96" spans="3:5" ht="13.5">
      <c r="C96" s="90">
        <v>14</v>
      </c>
      <c r="D96" s="88" t="s">
        <v>115</v>
      </c>
      <c r="E96" s="92">
        <f>+X71</f>
        <v>327</v>
      </c>
    </row>
  </sheetData>
  <sheetProtection/>
  <mergeCells count="10">
    <mergeCell ref="A1:X1"/>
    <mergeCell ref="A2:X2"/>
    <mergeCell ref="E3:H3"/>
    <mergeCell ref="I3:L3"/>
    <mergeCell ref="M3:P3"/>
    <mergeCell ref="Q3:T3"/>
    <mergeCell ref="U3:W3"/>
    <mergeCell ref="A3:A4"/>
    <mergeCell ref="D3:D4"/>
    <mergeCell ref="C3:C4"/>
  </mergeCells>
  <printOptions horizontalCentered="1"/>
  <pageMargins left="0.5905511811023623" right="0.7480314960629921" top="0.2755905511811024" bottom="0.2755905511811024" header="0.5118110236220472" footer="0.5118110236220472"/>
  <pageSetup horizontalDpi="600" verticalDpi="600" orientation="landscape" paperSize="9" scale="54" r:id="rId1"/>
  <rowBreaks count="1" manualBreakCount="1">
    <brk id="8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="115" zoomScaleNormal="115" zoomScaleSheetLayoutView="115" zoomScalePageLayoutView="0" workbookViewId="0" topLeftCell="A19">
      <selection activeCell="C54" sqref="C54"/>
    </sheetView>
  </sheetViews>
  <sheetFormatPr defaultColWidth="9.140625" defaultRowHeight="12.75"/>
  <cols>
    <col min="1" max="1" width="2.7109375" style="0" customWidth="1"/>
    <col min="2" max="2" width="8.00390625" style="0" bestFit="1" customWidth="1"/>
    <col min="3" max="3" width="43.140625" style="0" bestFit="1" customWidth="1"/>
    <col min="4" max="4" width="10.7109375" style="0" customWidth="1"/>
    <col min="5" max="5" width="9.28125" style="0" customWidth="1"/>
    <col min="6" max="6" width="10.7109375" style="4" customWidth="1"/>
    <col min="7" max="7" width="8.28125" style="0" customWidth="1"/>
    <col min="8" max="8" width="9.28125" style="0" customWidth="1"/>
    <col min="9" max="9" width="6.00390625" style="4" customWidth="1"/>
    <col min="10" max="10" width="8.28125" style="0" customWidth="1"/>
    <col min="11" max="11" width="9.28125" style="0" customWidth="1"/>
    <col min="12" max="12" width="6.00390625" style="4" customWidth="1"/>
    <col min="13" max="13" width="8.28125" style="0" customWidth="1"/>
    <col min="14" max="14" width="9.28125" style="0" customWidth="1"/>
    <col min="15" max="15" width="6.00390625" style="4" bestFit="1" customWidth="1"/>
    <col min="16" max="16" width="8.28125" style="4" bestFit="1" customWidth="1"/>
    <col min="17" max="17" width="9.28125" style="4" bestFit="1" customWidth="1"/>
    <col min="18" max="18" width="10.8515625" style="4" customWidth="1"/>
  </cols>
  <sheetData>
    <row r="1" spans="1:18" ht="15">
      <c r="A1" s="232" t="s">
        <v>34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ht="15">
      <c r="A2" s="234" t="str">
        <f>+контракт!A2</f>
        <v>01.11.2023 холати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s="132" customFormat="1" ht="12.75">
      <c r="A3" s="236" t="s">
        <v>0</v>
      </c>
      <c r="B3" s="236" t="s">
        <v>87</v>
      </c>
      <c r="C3" s="236" t="s">
        <v>28</v>
      </c>
      <c r="D3" s="230" t="s">
        <v>1</v>
      </c>
      <c r="E3" s="230"/>
      <c r="F3" s="230"/>
      <c r="G3" s="230" t="s">
        <v>2</v>
      </c>
      <c r="H3" s="230"/>
      <c r="I3" s="230"/>
      <c r="J3" s="230" t="s">
        <v>3</v>
      </c>
      <c r="K3" s="230"/>
      <c r="L3" s="230"/>
      <c r="M3" s="230" t="s">
        <v>4</v>
      </c>
      <c r="N3" s="230"/>
      <c r="O3" s="231"/>
      <c r="P3" s="238" t="s">
        <v>29</v>
      </c>
      <c r="Q3" s="239"/>
      <c r="R3" s="240"/>
    </row>
    <row r="4" spans="1:18" s="132" customFormat="1" ht="12.75">
      <c r="A4" s="237"/>
      <c r="B4" s="237"/>
      <c r="C4" s="237"/>
      <c r="D4" s="179" t="s">
        <v>25</v>
      </c>
      <c r="E4" s="179" t="s">
        <v>26</v>
      </c>
      <c r="F4" s="179" t="s">
        <v>27</v>
      </c>
      <c r="G4" s="179" t="s">
        <v>25</v>
      </c>
      <c r="H4" s="179" t="s">
        <v>26</v>
      </c>
      <c r="I4" s="179" t="s">
        <v>27</v>
      </c>
      <c r="J4" s="179" t="s">
        <v>25</v>
      </c>
      <c r="K4" s="179" t="s">
        <v>26</v>
      </c>
      <c r="L4" s="179" t="s">
        <v>27</v>
      </c>
      <c r="M4" s="179" t="s">
        <v>25</v>
      </c>
      <c r="N4" s="179" t="s">
        <v>26</v>
      </c>
      <c r="O4" s="181" t="s">
        <v>27</v>
      </c>
      <c r="P4" s="179" t="s">
        <v>25</v>
      </c>
      <c r="Q4" s="179" t="s">
        <v>26</v>
      </c>
      <c r="R4" s="179" t="s">
        <v>27</v>
      </c>
    </row>
    <row r="5" spans="1:18" s="169" customFormat="1" ht="12.75">
      <c r="A5" s="148">
        <v>1</v>
      </c>
      <c r="B5" s="166"/>
      <c r="C5" s="182" t="s">
        <v>95</v>
      </c>
      <c r="D5" s="168">
        <f>+D6+D7+D8+D9</f>
        <v>0</v>
      </c>
      <c r="E5" s="168">
        <f aca="true" t="shared" si="0" ref="E5:R5">+E6+E7+E8+E9</f>
        <v>0</v>
      </c>
      <c r="F5" s="168">
        <f t="shared" si="0"/>
        <v>0</v>
      </c>
      <c r="G5" s="168">
        <f t="shared" si="0"/>
        <v>52</v>
      </c>
      <c r="H5" s="168">
        <f t="shared" si="0"/>
        <v>95</v>
      </c>
      <c r="I5" s="168">
        <f t="shared" si="0"/>
        <v>147</v>
      </c>
      <c r="J5" s="168">
        <f t="shared" si="0"/>
        <v>35</v>
      </c>
      <c r="K5" s="168">
        <f t="shared" si="0"/>
        <v>43</v>
      </c>
      <c r="L5" s="168">
        <f t="shared" si="0"/>
        <v>78</v>
      </c>
      <c r="M5" s="168">
        <f t="shared" si="0"/>
        <v>45</v>
      </c>
      <c r="N5" s="168">
        <f t="shared" si="0"/>
        <v>135</v>
      </c>
      <c r="O5" s="168">
        <f t="shared" si="0"/>
        <v>180</v>
      </c>
      <c r="P5" s="168">
        <f t="shared" si="0"/>
        <v>132</v>
      </c>
      <c r="Q5" s="168">
        <f t="shared" si="0"/>
        <v>273</v>
      </c>
      <c r="R5" s="168">
        <f t="shared" si="0"/>
        <v>405</v>
      </c>
    </row>
    <row r="6" spans="1:18" ht="12.75">
      <c r="A6" s="60">
        <v>1</v>
      </c>
      <c r="B6" s="136">
        <v>60540100</v>
      </c>
      <c r="C6" s="52" t="s">
        <v>13</v>
      </c>
      <c r="D6" s="131"/>
      <c r="E6" s="131"/>
      <c r="F6" s="131">
        <f>D6+E6</f>
        <v>0</v>
      </c>
      <c r="G6" s="131">
        <v>38</v>
      </c>
      <c r="H6" s="131">
        <v>52</v>
      </c>
      <c r="I6" s="131">
        <f>G6+H6</f>
        <v>90</v>
      </c>
      <c r="J6" s="131">
        <v>21</v>
      </c>
      <c r="K6" s="131">
        <v>32</v>
      </c>
      <c r="L6" s="131">
        <f>J6+K6</f>
        <v>53</v>
      </c>
      <c r="M6" s="131">
        <v>16</v>
      </c>
      <c r="N6" s="131">
        <v>39</v>
      </c>
      <c r="O6" s="131">
        <f>M6+N6</f>
        <v>55</v>
      </c>
      <c r="P6" s="180">
        <f aca="true" t="shared" si="1" ref="P6:Q9">G6+J6+M6+D6</f>
        <v>75</v>
      </c>
      <c r="Q6" s="180">
        <f t="shared" si="1"/>
        <v>123</v>
      </c>
      <c r="R6" s="180">
        <f>F6+I6+L6+O6</f>
        <v>198</v>
      </c>
    </row>
    <row r="7" spans="1:18" ht="12.75">
      <c r="A7" s="60">
        <v>2</v>
      </c>
      <c r="B7" s="136">
        <v>60110600</v>
      </c>
      <c r="C7" s="65" t="s">
        <v>96</v>
      </c>
      <c r="D7" s="131"/>
      <c r="E7" s="131"/>
      <c r="F7" s="131">
        <f>D7+E7</f>
        <v>0</v>
      </c>
      <c r="G7" s="131"/>
      <c r="H7" s="131"/>
      <c r="I7" s="131">
        <f>G7+H7</f>
        <v>0</v>
      </c>
      <c r="J7" s="131"/>
      <c r="K7" s="131"/>
      <c r="L7" s="131">
        <f>J7+K7</f>
        <v>0</v>
      </c>
      <c r="M7" s="131">
        <v>24</v>
      </c>
      <c r="N7" s="131">
        <v>69</v>
      </c>
      <c r="O7" s="131">
        <f>M7+N7</f>
        <v>93</v>
      </c>
      <c r="P7" s="180">
        <f t="shared" si="1"/>
        <v>24</v>
      </c>
      <c r="Q7" s="180">
        <f t="shared" si="1"/>
        <v>69</v>
      </c>
      <c r="R7" s="180">
        <f aca="true" t="shared" si="2" ref="R7:R64">F7+I7+L7+O7</f>
        <v>93</v>
      </c>
    </row>
    <row r="8" spans="1:18" ht="12.75">
      <c r="A8" s="60">
        <v>3</v>
      </c>
      <c r="B8" s="136">
        <v>60540300</v>
      </c>
      <c r="C8" s="65" t="s">
        <v>98</v>
      </c>
      <c r="D8" s="131"/>
      <c r="E8" s="131"/>
      <c r="F8" s="131">
        <f>D8+E8</f>
        <v>0</v>
      </c>
      <c r="G8" s="131">
        <v>5</v>
      </c>
      <c r="H8" s="131">
        <v>11</v>
      </c>
      <c r="I8" s="131">
        <f>G8+H8</f>
        <v>16</v>
      </c>
      <c r="J8" s="131">
        <v>4</v>
      </c>
      <c r="K8" s="131">
        <v>2</v>
      </c>
      <c r="L8" s="131">
        <f>J8+K8</f>
        <v>6</v>
      </c>
      <c r="M8" s="131">
        <v>3</v>
      </c>
      <c r="N8" s="131">
        <v>6</v>
      </c>
      <c r="O8" s="131">
        <f>M8+N8</f>
        <v>9</v>
      </c>
      <c r="P8" s="180">
        <f t="shared" si="1"/>
        <v>12</v>
      </c>
      <c r="Q8" s="180">
        <f t="shared" si="1"/>
        <v>19</v>
      </c>
      <c r="R8" s="180">
        <f t="shared" si="2"/>
        <v>31</v>
      </c>
    </row>
    <row r="9" spans="1:18" s="6" customFormat="1" ht="12.75">
      <c r="A9" s="60">
        <v>4</v>
      </c>
      <c r="B9" s="136">
        <v>60540200</v>
      </c>
      <c r="C9" s="65" t="s">
        <v>99</v>
      </c>
      <c r="D9" s="131"/>
      <c r="E9" s="131"/>
      <c r="F9" s="131">
        <f>D9+E9</f>
        <v>0</v>
      </c>
      <c r="G9" s="131">
        <v>9</v>
      </c>
      <c r="H9" s="131">
        <v>32</v>
      </c>
      <c r="I9" s="131">
        <f>G9+H9</f>
        <v>41</v>
      </c>
      <c r="J9" s="131">
        <v>10</v>
      </c>
      <c r="K9" s="131">
        <v>9</v>
      </c>
      <c r="L9" s="131">
        <f>J9+K9</f>
        <v>19</v>
      </c>
      <c r="M9" s="131">
        <v>2</v>
      </c>
      <c r="N9" s="131">
        <v>21</v>
      </c>
      <c r="O9" s="131">
        <f>M9+N9</f>
        <v>23</v>
      </c>
      <c r="P9" s="180">
        <f t="shared" si="1"/>
        <v>21</v>
      </c>
      <c r="Q9" s="180">
        <f t="shared" si="1"/>
        <v>62</v>
      </c>
      <c r="R9" s="180">
        <f>F9+I9+L9+O9</f>
        <v>83</v>
      </c>
    </row>
    <row r="10" spans="1:18" s="169" customFormat="1" ht="22.5">
      <c r="A10" s="95">
        <v>2</v>
      </c>
      <c r="B10" s="171"/>
      <c r="C10" s="183" t="s">
        <v>123</v>
      </c>
      <c r="D10" s="168">
        <f>+D11+D12+D13</f>
        <v>0</v>
      </c>
      <c r="E10" s="168">
        <f aca="true" t="shared" si="3" ref="E10:R10">+E11+E12+E13</f>
        <v>0</v>
      </c>
      <c r="F10" s="168">
        <f t="shared" si="3"/>
        <v>0</v>
      </c>
      <c r="G10" s="168">
        <f t="shared" si="3"/>
        <v>7</v>
      </c>
      <c r="H10" s="168">
        <f t="shared" si="3"/>
        <v>9</v>
      </c>
      <c r="I10" s="168">
        <f t="shared" si="3"/>
        <v>16</v>
      </c>
      <c r="J10" s="168">
        <f t="shared" si="3"/>
        <v>3</v>
      </c>
      <c r="K10" s="168">
        <f t="shared" si="3"/>
        <v>26</v>
      </c>
      <c r="L10" s="168">
        <f t="shared" si="3"/>
        <v>29</v>
      </c>
      <c r="M10" s="168">
        <f t="shared" si="3"/>
        <v>2</v>
      </c>
      <c r="N10" s="168">
        <f t="shared" si="3"/>
        <v>30</v>
      </c>
      <c r="O10" s="168">
        <f t="shared" si="3"/>
        <v>32</v>
      </c>
      <c r="P10" s="168">
        <f t="shared" si="3"/>
        <v>12</v>
      </c>
      <c r="Q10" s="168">
        <f t="shared" si="3"/>
        <v>65</v>
      </c>
      <c r="R10" s="168">
        <f t="shared" si="3"/>
        <v>77</v>
      </c>
    </row>
    <row r="11" spans="1:18" s="6" customFormat="1" ht="22.5">
      <c r="A11" s="60">
        <v>5</v>
      </c>
      <c r="B11" s="136">
        <v>60610100</v>
      </c>
      <c r="C11" s="93" t="s">
        <v>100</v>
      </c>
      <c r="D11" s="131"/>
      <c r="E11" s="131"/>
      <c r="F11" s="131">
        <f>D11+E11</f>
        <v>0</v>
      </c>
      <c r="G11" s="131">
        <v>2</v>
      </c>
      <c r="H11" s="131">
        <v>2</v>
      </c>
      <c r="I11" s="131">
        <f>G11+H11</f>
        <v>4</v>
      </c>
      <c r="J11" s="131">
        <v>2</v>
      </c>
      <c r="K11" s="131">
        <v>18</v>
      </c>
      <c r="L11" s="131">
        <f>J11+K11</f>
        <v>20</v>
      </c>
      <c r="M11" s="131">
        <v>2</v>
      </c>
      <c r="N11" s="131">
        <v>23</v>
      </c>
      <c r="O11" s="131">
        <f>M11+N11</f>
        <v>25</v>
      </c>
      <c r="P11" s="180">
        <f aca="true" t="shared" si="4" ref="P11:Q13">G11+J11+M11+D11</f>
        <v>6</v>
      </c>
      <c r="Q11" s="180">
        <f t="shared" si="4"/>
        <v>43</v>
      </c>
      <c r="R11" s="180">
        <f t="shared" si="2"/>
        <v>49</v>
      </c>
    </row>
    <row r="12" spans="1:18" s="6" customFormat="1" ht="12.75">
      <c r="A12" s="60">
        <v>6</v>
      </c>
      <c r="B12" s="136">
        <v>60610600</v>
      </c>
      <c r="C12" s="93" t="s">
        <v>101</v>
      </c>
      <c r="D12" s="131"/>
      <c r="E12" s="131"/>
      <c r="F12" s="131">
        <f>D12+E12</f>
        <v>0</v>
      </c>
      <c r="G12" s="131">
        <v>4</v>
      </c>
      <c r="H12" s="131">
        <v>4</v>
      </c>
      <c r="I12" s="131">
        <f>G12+H12</f>
        <v>8</v>
      </c>
      <c r="J12" s="131">
        <v>1</v>
      </c>
      <c r="K12" s="131">
        <v>8</v>
      </c>
      <c r="L12" s="131">
        <f>J12+K12</f>
        <v>9</v>
      </c>
      <c r="M12" s="131"/>
      <c r="N12" s="131">
        <v>7</v>
      </c>
      <c r="O12" s="131">
        <f>M12+N12</f>
        <v>7</v>
      </c>
      <c r="P12" s="180">
        <f t="shared" si="4"/>
        <v>5</v>
      </c>
      <c r="Q12" s="180">
        <f t="shared" si="4"/>
        <v>19</v>
      </c>
      <c r="R12" s="180">
        <f t="shared" si="2"/>
        <v>24</v>
      </c>
    </row>
    <row r="13" spans="1:18" s="6" customFormat="1" ht="12.75">
      <c r="A13" s="60">
        <v>7</v>
      </c>
      <c r="B13" s="130">
        <v>60610700</v>
      </c>
      <c r="C13" s="93" t="s">
        <v>122</v>
      </c>
      <c r="D13" s="131"/>
      <c r="E13" s="131"/>
      <c r="F13" s="131">
        <f>D13+E13</f>
        <v>0</v>
      </c>
      <c r="G13" s="131">
        <v>1</v>
      </c>
      <c r="H13" s="131">
        <v>3</v>
      </c>
      <c r="I13" s="131">
        <f>G13+H13</f>
        <v>4</v>
      </c>
      <c r="J13" s="131"/>
      <c r="K13" s="131"/>
      <c r="L13" s="131">
        <f>J13+K13</f>
        <v>0</v>
      </c>
      <c r="M13" s="131"/>
      <c r="N13" s="131"/>
      <c r="O13" s="131">
        <f>M13+N13</f>
        <v>0</v>
      </c>
      <c r="P13" s="180">
        <f t="shared" si="4"/>
        <v>1</v>
      </c>
      <c r="Q13" s="180">
        <f t="shared" si="4"/>
        <v>3</v>
      </c>
      <c r="R13" s="180">
        <f>F13+I13+L13+O13</f>
        <v>4</v>
      </c>
    </row>
    <row r="14" spans="1:18" s="169" customFormat="1" ht="12.75">
      <c r="A14" s="95">
        <v>3</v>
      </c>
      <c r="B14" s="171"/>
      <c r="C14" s="184" t="s">
        <v>128</v>
      </c>
      <c r="D14" s="168">
        <f>+D15+D16+D17+D18+D19+D20+D21</f>
        <v>0</v>
      </c>
      <c r="E14" s="168">
        <f aca="true" t="shared" si="5" ref="E14:R14">+E15+E16+E17+E18+E19+E20+E21</f>
        <v>0</v>
      </c>
      <c r="F14" s="168">
        <f t="shared" si="5"/>
        <v>0</v>
      </c>
      <c r="G14" s="168">
        <f t="shared" si="5"/>
        <v>16</v>
      </c>
      <c r="H14" s="168">
        <f t="shared" si="5"/>
        <v>35</v>
      </c>
      <c r="I14" s="168">
        <f t="shared" si="5"/>
        <v>51</v>
      </c>
      <c r="J14" s="168">
        <f t="shared" si="5"/>
        <v>19</v>
      </c>
      <c r="K14" s="168">
        <f t="shared" si="5"/>
        <v>36</v>
      </c>
      <c r="L14" s="168">
        <f t="shared" si="5"/>
        <v>55</v>
      </c>
      <c r="M14" s="168">
        <f t="shared" si="5"/>
        <v>24</v>
      </c>
      <c r="N14" s="168">
        <f t="shared" si="5"/>
        <v>74</v>
      </c>
      <c r="O14" s="168">
        <f t="shared" si="5"/>
        <v>98</v>
      </c>
      <c r="P14" s="168">
        <f t="shared" si="5"/>
        <v>59</v>
      </c>
      <c r="Q14" s="168">
        <f t="shared" si="5"/>
        <v>145</v>
      </c>
      <c r="R14" s="168">
        <f t="shared" si="5"/>
        <v>204</v>
      </c>
    </row>
    <row r="15" spans="1:18" ht="12.75">
      <c r="A15" s="60">
        <v>8</v>
      </c>
      <c r="B15" s="136">
        <v>60530900</v>
      </c>
      <c r="C15" s="52" t="s">
        <v>15</v>
      </c>
      <c r="D15" s="131"/>
      <c r="E15" s="131"/>
      <c r="F15" s="131">
        <f aca="true" t="shared" si="6" ref="F15:F21">D15+E15</f>
        <v>0</v>
      </c>
      <c r="G15" s="131">
        <v>7</v>
      </c>
      <c r="H15" s="131">
        <v>18</v>
      </c>
      <c r="I15" s="131">
        <f aca="true" t="shared" si="7" ref="I15:I21">G15+H15</f>
        <v>25</v>
      </c>
      <c r="J15" s="131">
        <v>12</v>
      </c>
      <c r="K15" s="131">
        <v>27</v>
      </c>
      <c r="L15" s="131">
        <f aca="true" t="shared" si="8" ref="L15:L21">J15+K15</f>
        <v>39</v>
      </c>
      <c r="M15" s="131">
        <v>7</v>
      </c>
      <c r="N15" s="131">
        <v>33</v>
      </c>
      <c r="O15" s="131">
        <f aca="true" t="shared" si="9" ref="O15:O21">M15+N15</f>
        <v>40</v>
      </c>
      <c r="P15" s="180">
        <f aca="true" t="shared" si="10" ref="P15:Q21">G15+J15+M15+D15</f>
        <v>26</v>
      </c>
      <c r="Q15" s="180">
        <f t="shared" si="10"/>
        <v>78</v>
      </c>
      <c r="R15" s="180">
        <f t="shared" si="2"/>
        <v>104</v>
      </c>
    </row>
    <row r="16" spans="1:18" ht="12.75">
      <c r="A16" s="60">
        <v>9</v>
      </c>
      <c r="B16" s="137">
        <v>60110700</v>
      </c>
      <c r="C16" s="93" t="s">
        <v>111</v>
      </c>
      <c r="D16" s="131"/>
      <c r="E16" s="131"/>
      <c r="F16" s="131">
        <f t="shared" si="6"/>
        <v>0</v>
      </c>
      <c r="G16" s="131"/>
      <c r="H16" s="131"/>
      <c r="I16" s="131">
        <f t="shared" si="7"/>
        <v>0</v>
      </c>
      <c r="J16" s="131"/>
      <c r="K16" s="131"/>
      <c r="L16" s="131">
        <f t="shared" si="8"/>
        <v>0</v>
      </c>
      <c r="M16" s="131">
        <v>9</v>
      </c>
      <c r="N16" s="131">
        <v>31</v>
      </c>
      <c r="O16" s="131">
        <f t="shared" si="9"/>
        <v>40</v>
      </c>
      <c r="P16" s="180">
        <f t="shared" si="10"/>
        <v>9</v>
      </c>
      <c r="Q16" s="180">
        <f t="shared" si="10"/>
        <v>31</v>
      </c>
      <c r="R16" s="180">
        <f t="shared" si="2"/>
        <v>40</v>
      </c>
    </row>
    <row r="17" spans="1:18" ht="12.75">
      <c r="A17" s="60">
        <v>10</v>
      </c>
      <c r="B17" s="137">
        <v>60531000</v>
      </c>
      <c r="C17" s="65" t="s">
        <v>97</v>
      </c>
      <c r="D17" s="131"/>
      <c r="E17" s="131"/>
      <c r="F17" s="131">
        <f t="shared" si="6"/>
        <v>0</v>
      </c>
      <c r="G17" s="131">
        <v>6</v>
      </c>
      <c r="H17" s="131">
        <v>6</v>
      </c>
      <c r="I17" s="131">
        <f t="shared" si="7"/>
        <v>12</v>
      </c>
      <c r="J17" s="131">
        <v>7</v>
      </c>
      <c r="K17" s="131">
        <v>9</v>
      </c>
      <c r="L17" s="131">
        <f t="shared" si="8"/>
        <v>16</v>
      </c>
      <c r="M17" s="131">
        <v>8</v>
      </c>
      <c r="N17" s="131">
        <v>10</v>
      </c>
      <c r="O17" s="131">
        <f t="shared" si="9"/>
        <v>18</v>
      </c>
      <c r="P17" s="180">
        <f t="shared" si="10"/>
        <v>21</v>
      </c>
      <c r="Q17" s="180">
        <f t="shared" si="10"/>
        <v>25</v>
      </c>
      <c r="R17" s="180">
        <f t="shared" si="2"/>
        <v>46</v>
      </c>
    </row>
    <row r="18" spans="1:18" ht="12.75">
      <c r="A18" s="60">
        <v>11</v>
      </c>
      <c r="B18" s="130">
        <v>60531200</v>
      </c>
      <c r="C18" s="93" t="s">
        <v>124</v>
      </c>
      <c r="D18" s="131"/>
      <c r="E18" s="131"/>
      <c r="F18" s="131">
        <f t="shared" si="6"/>
        <v>0</v>
      </c>
      <c r="G18" s="131">
        <v>3</v>
      </c>
      <c r="H18" s="131">
        <v>7</v>
      </c>
      <c r="I18" s="131">
        <f t="shared" si="7"/>
        <v>10</v>
      </c>
      <c r="J18" s="131"/>
      <c r="K18" s="131"/>
      <c r="L18" s="131">
        <f t="shared" si="8"/>
        <v>0</v>
      </c>
      <c r="M18" s="131"/>
      <c r="N18" s="131"/>
      <c r="O18" s="131">
        <f t="shared" si="9"/>
        <v>0</v>
      </c>
      <c r="P18" s="180">
        <f t="shared" si="10"/>
        <v>3</v>
      </c>
      <c r="Q18" s="180">
        <f t="shared" si="10"/>
        <v>7</v>
      </c>
      <c r="R18" s="180">
        <f t="shared" si="2"/>
        <v>10</v>
      </c>
    </row>
    <row r="19" spans="1:18" ht="12.75">
      <c r="A19" s="60">
        <v>12</v>
      </c>
      <c r="B19" s="130">
        <v>60711200</v>
      </c>
      <c r="C19" s="93" t="s">
        <v>125</v>
      </c>
      <c r="D19" s="131"/>
      <c r="E19" s="131"/>
      <c r="F19" s="131">
        <f t="shared" si="6"/>
        <v>0</v>
      </c>
      <c r="G19" s="131"/>
      <c r="H19" s="131">
        <v>1</v>
      </c>
      <c r="I19" s="131">
        <f t="shared" si="7"/>
        <v>1</v>
      </c>
      <c r="J19" s="131"/>
      <c r="K19" s="131"/>
      <c r="L19" s="131">
        <f t="shared" si="8"/>
        <v>0</v>
      </c>
      <c r="M19" s="131"/>
      <c r="N19" s="131"/>
      <c r="O19" s="131">
        <f t="shared" si="9"/>
        <v>0</v>
      </c>
      <c r="P19" s="180">
        <f t="shared" si="10"/>
        <v>0</v>
      </c>
      <c r="Q19" s="180">
        <f t="shared" si="10"/>
        <v>1</v>
      </c>
      <c r="R19" s="180">
        <f t="shared" si="2"/>
        <v>1</v>
      </c>
    </row>
    <row r="20" spans="1:18" ht="22.5">
      <c r="A20" s="60">
        <v>13</v>
      </c>
      <c r="B20" s="130">
        <v>60711600</v>
      </c>
      <c r="C20" s="93" t="s">
        <v>126</v>
      </c>
      <c r="D20" s="131"/>
      <c r="E20" s="131"/>
      <c r="F20" s="131">
        <f t="shared" si="6"/>
        <v>0</v>
      </c>
      <c r="G20" s="131"/>
      <c r="H20" s="131">
        <v>1</v>
      </c>
      <c r="I20" s="131">
        <f t="shared" si="7"/>
        <v>1</v>
      </c>
      <c r="J20" s="131"/>
      <c r="K20" s="131"/>
      <c r="L20" s="131">
        <f t="shared" si="8"/>
        <v>0</v>
      </c>
      <c r="M20" s="131"/>
      <c r="N20" s="131"/>
      <c r="O20" s="131">
        <f t="shared" si="9"/>
        <v>0</v>
      </c>
      <c r="P20" s="180">
        <f t="shared" si="10"/>
        <v>0</v>
      </c>
      <c r="Q20" s="180">
        <f t="shared" si="10"/>
        <v>1</v>
      </c>
      <c r="R20" s="180">
        <f t="shared" si="2"/>
        <v>1</v>
      </c>
    </row>
    <row r="21" spans="1:18" ht="22.5">
      <c r="A21" s="60">
        <v>14</v>
      </c>
      <c r="B21" s="130">
        <v>60720800</v>
      </c>
      <c r="C21" s="93" t="s">
        <v>127</v>
      </c>
      <c r="D21" s="131"/>
      <c r="E21" s="131"/>
      <c r="F21" s="131">
        <f t="shared" si="6"/>
        <v>0</v>
      </c>
      <c r="G21" s="131"/>
      <c r="H21" s="131">
        <v>2</v>
      </c>
      <c r="I21" s="131">
        <f t="shared" si="7"/>
        <v>2</v>
      </c>
      <c r="J21" s="131"/>
      <c r="K21" s="131"/>
      <c r="L21" s="131">
        <f t="shared" si="8"/>
        <v>0</v>
      </c>
      <c r="M21" s="131"/>
      <c r="N21" s="131"/>
      <c r="O21" s="131">
        <f t="shared" si="9"/>
        <v>0</v>
      </c>
      <c r="P21" s="180">
        <f t="shared" si="10"/>
        <v>0</v>
      </c>
      <c r="Q21" s="180">
        <f t="shared" si="10"/>
        <v>2</v>
      </c>
      <c r="R21" s="180">
        <f t="shared" si="2"/>
        <v>2</v>
      </c>
    </row>
    <row r="22" spans="1:18" s="172" customFormat="1" ht="12.75">
      <c r="A22" s="95">
        <v>4</v>
      </c>
      <c r="B22" s="171"/>
      <c r="C22" s="185" t="s">
        <v>31</v>
      </c>
      <c r="D22" s="168">
        <f>D24+D23+D25+D26+D27+D28+D29</f>
        <v>0</v>
      </c>
      <c r="E22" s="168">
        <f aca="true" t="shared" si="11" ref="E22:R22">E24+E23+E25+E26+E27+E28+E29</f>
        <v>0</v>
      </c>
      <c r="F22" s="168">
        <f t="shared" si="11"/>
        <v>0</v>
      </c>
      <c r="G22" s="168">
        <f>G24+G23+G25+G26+G27+G28+G29</f>
        <v>81</v>
      </c>
      <c r="H22" s="168">
        <f>H24+H23+H25+H26+H27+H28+H29</f>
        <v>173</v>
      </c>
      <c r="I22" s="168">
        <f t="shared" si="11"/>
        <v>254</v>
      </c>
      <c r="J22" s="168">
        <f>J24+J23+J25+J26+J27+J28+J29</f>
        <v>116</v>
      </c>
      <c r="K22" s="168">
        <f>K24+K23+K25+K26+K27+K28+K29</f>
        <v>318</v>
      </c>
      <c r="L22" s="168">
        <f t="shared" si="11"/>
        <v>434</v>
      </c>
      <c r="M22" s="168">
        <f>M24+M23+M25+M26+M27+M28+M29</f>
        <v>119</v>
      </c>
      <c r="N22" s="168">
        <f>N24+N23+N25+N26+N27+N28+N29</f>
        <v>613</v>
      </c>
      <c r="O22" s="168">
        <f t="shared" si="11"/>
        <v>521</v>
      </c>
      <c r="P22" s="168">
        <f t="shared" si="11"/>
        <v>316</v>
      </c>
      <c r="Q22" s="168">
        <f t="shared" si="11"/>
        <v>1104</v>
      </c>
      <c r="R22" s="168">
        <f t="shared" si="11"/>
        <v>1209</v>
      </c>
    </row>
    <row r="23" spans="1:18" s="6" customFormat="1" ht="12.75">
      <c r="A23" s="60">
        <v>15</v>
      </c>
      <c r="B23" s="136">
        <v>60230100</v>
      </c>
      <c r="C23" s="52" t="s">
        <v>65</v>
      </c>
      <c r="D23" s="131"/>
      <c r="E23" s="131"/>
      <c r="F23" s="131">
        <f aca="true" t="shared" si="12" ref="F23:F29">D23+E23</f>
        <v>0</v>
      </c>
      <c r="G23" s="131">
        <v>10</v>
      </c>
      <c r="H23" s="131">
        <v>18</v>
      </c>
      <c r="I23" s="131">
        <f aca="true" t="shared" si="13" ref="I23:I29">G23+H23</f>
        <v>28</v>
      </c>
      <c r="J23" s="131">
        <v>8</v>
      </c>
      <c r="K23" s="131">
        <v>33</v>
      </c>
      <c r="L23" s="131">
        <f aca="true" t="shared" si="14" ref="L23:L29">J23+K23</f>
        <v>41</v>
      </c>
      <c r="M23" s="131">
        <v>6</v>
      </c>
      <c r="N23" s="131">
        <v>25</v>
      </c>
      <c r="O23" s="131">
        <f aca="true" t="shared" si="15" ref="O23:O28">M23+N23</f>
        <v>31</v>
      </c>
      <c r="P23" s="180">
        <f aca="true" t="shared" si="16" ref="P23:Q25">D23+G23+J23+M23</f>
        <v>24</v>
      </c>
      <c r="Q23" s="180">
        <f t="shared" si="16"/>
        <v>76</v>
      </c>
      <c r="R23" s="180">
        <f t="shared" si="2"/>
        <v>100</v>
      </c>
    </row>
    <row r="24" spans="1:18" ht="12.75">
      <c r="A24" s="60">
        <v>16</v>
      </c>
      <c r="B24" s="136">
        <v>60230100</v>
      </c>
      <c r="C24" s="52" t="s">
        <v>66</v>
      </c>
      <c r="D24" s="131"/>
      <c r="E24" s="131"/>
      <c r="F24" s="131">
        <f t="shared" si="12"/>
        <v>0</v>
      </c>
      <c r="G24" s="131">
        <v>53</v>
      </c>
      <c r="H24" s="131">
        <v>95</v>
      </c>
      <c r="I24" s="131">
        <f t="shared" si="13"/>
        <v>148</v>
      </c>
      <c r="J24" s="131">
        <v>77</v>
      </c>
      <c r="K24" s="131">
        <v>143</v>
      </c>
      <c r="L24" s="131">
        <f t="shared" si="14"/>
        <v>220</v>
      </c>
      <c r="M24" s="131">
        <v>51</v>
      </c>
      <c r="N24" s="131">
        <v>149</v>
      </c>
      <c r="O24" s="131">
        <f t="shared" si="15"/>
        <v>200</v>
      </c>
      <c r="P24" s="180">
        <f t="shared" si="16"/>
        <v>181</v>
      </c>
      <c r="Q24" s="180">
        <f t="shared" si="16"/>
        <v>387</v>
      </c>
      <c r="R24" s="180">
        <f t="shared" si="2"/>
        <v>568</v>
      </c>
    </row>
    <row r="25" spans="1:18" ht="12.75">
      <c r="A25" s="60">
        <v>17</v>
      </c>
      <c r="B25" s="136">
        <v>60230600</v>
      </c>
      <c r="C25" s="52" t="s">
        <v>102</v>
      </c>
      <c r="D25" s="131"/>
      <c r="E25" s="131"/>
      <c r="F25" s="131">
        <f t="shared" si="12"/>
        <v>0</v>
      </c>
      <c r="G25" s="131">
        <v>6</v>
      </c>
      <c r="H25" s="131">
        <v>14</v>
      </c>
      <c r="I25" s="131">
        <f t="shared" si="13"/>
        <v>20</v>
      </c>
      <c r="J25" s="131">
        <v>4</v>
      </c>
      <c r="K25" s="131">
        <v>21</v>
      </c>
      <c r="L25" s="131">
        <f t="shared" si="14"/>
        <v>25</v>
      </c>
      <c r="M25" s="131">
        <v>3</v>
      </c>
      <c r="N25" s="131">
        <v>18</v>
      </c>
      <c r="O25" s="131">
        <f t="shared" si="15"/>
        <v>21</v>
      </c>
      <c r="P25" s="180">
        <f t="shared" si="16"/>
        <v>13</v>
      </c>
      <c r="Q25" s="180">
        <f t="shared" si="16"/>
        <v>53</v>
      </c>
      <c r="R25" s="180">
        <f t="shared" si="2"/>
        <v>66</v>
      </c>
    </row>
    <row r="26" spans="1:18" ht="12.75">
      <c r="A26" s="60">
        <v>18</v>
      </c>
      <c r="B26" s="136">
        <v>60230100</v>
      </c>
      <c r="C26" s="52" t="s">
        <v>67</v>
      </c>
      <c r="D26" s="131"/>
      <c r="E26" s="131"/>
      <c r="F26" s="131">
        <f t="shared" si="12"/>
        <v>0</v>
      </c>
      <c r="G26" s="131">
        <v>12</v>
      </c>
      <c r="H26" s="131">
        <v>46</v>
      </c>
      <c r="I26" s="131">
        <f t="shared" si="13"/>
        <v>58</v>
      </c>
      <c r="J26" s="131">
        <v>27</v>
      </c>
      <c r="K26" s="131">
        <v>121</v>
      </c>
      <c r="L26" s="131">
        <f t="shared" si="14"/>
        <v>148</v>
      </c>
      <c r="M26" s="131">
        <v>20</v>
      </c>
      <c r="N26" s="131">
        <v>157</v>
      </c>
      <c r="O26" s="131">
        <f t="shared" si="15"/>
        <v>177</v>
      </c>
      <c r="P26" s="180">
        <f aca="true" t="shared" si="17" ref="P26:Q29">G26+J26+M26+D26</f>
        <v>59</v>
      </c>
      <c r="Q26" s="180">
        <f t="shared" si="17"/>
        <v>324</v>
      </c>
      <c r="R26" s="180">
        <f t="shared" si="2"/>
        <v>383</v>
      </c>
    </row>
    <row r="27" spans="1:18" ht="12.75">
      <c r="A27" s="60">
        <v>19</v>
      </c>
      <c r="B27" s="138">
        <v>60230100</v>
      </c>
      <c r="C27" s="52" t="s">
        <v>138</v>
      </c>
      <c r="D27" s="131"/>
      <c r="E27" s="131"/>
      <c r="F27" s="131">
        <f t="shared" si="12"/>
        <v>0</v>
      </c>
      <c r="G27" s="131"/>
      <c r="H27" s="131"/>
      <c r="I27" s="131">
        <f t="shared" si="13"/>
        <v>0</v>
      </c>
      <c r="J27" s="131"/>
      <c r="K27" s="131"/>
      <c r="L27" s="131">
        <f t="shared" si="14"/>
        <v>0</v>
      </c>
      <c r="M27" s="131"/>
      <c r="N27" s="131"/>
      <c r="O27" s="131">
        <f t="shared" si="15"/>
        <v>0</v>
      </c>
      <c r="P27" s="180">
        <f t="shared" si="17"/>
        <v>0</v>
      </c>
      <c r="Q27" s="180">
        <f t="shared" si="17"/>
        <v>0</v>
      </c>
      <c r="R27" s="180">
        <f t="shared" si="2"/>
        <v>0</v>
      </c>
    </row>
    <row r="28" spans="1:18" ht="12.75">
      <c r="A28" s="60">
        <v>20</v>
      </c>
      <c r="B28" s="138">
        <v>60111800</v>
      </c>
      <c r="C28" s="65" t="s">
        <v>79</v>
      </c>
      <c r="D28" s="131"/>
      <c r="E28" s="131"/>
      <c r="F28" s="131">
        <f t="shared" si="12"/>
        <v>0</v>
      </c>
      <c r="G28" s="131"/>
      <c r="H28" s="131"/>
      <c r="I28" s="131">
        <f t="shared" si="13"/>
        <v>0</v>
      </c>
      <c r="J28" s="131"/>
      <c r="K28" s="131"/>
      <c r="L28" s="131">
        <f t="shared" si="14"/>
        <v>0</v>
      </c>
      <c r="M28" s="131">
        <v>13</v>
      </c>
      <c r="N28" s="131">
        <v>79</v>
      </c>
      <c r="O28" s="131">
        <f t="shared" si="15"/>
        <v>92</v>
      </c>
      <c r="P28" s="180">
        <f t="shared" si="17"/>
        <v>13</v>
      </c>
      <c r="Q28" s="180">
        <f t="shared" si="17"/>
        <v>79</v>
      </c>
      <c r="R28" s="180">
        <f t="shared" si="2"/>
        <v>92</v>
      </c>
    </row>
    <row r="29" spans="1:18" ht="12.75">
      <c r="A29" s="60">
        <v>21</v>
      </c>
      <c r="B29" s="138">
        <v>60111700</v>
      </c>
      <c r="C29" s="93" t="s">
        <v>103</v>
      </c>
      <c r="D29" s="131"/>
      <c r="E29" s="131"/>
      <c r="F29" s="131">
        <f t="shared" si="12"/>
        <v>0</v>
      </c>
      <c r="G29" s="131"/>
      <c r="H29" s="131"/>
      <c r="I29" s="131">
        <f t="shared" si="13"/>
        <v>0</v>
      </c>
      <c r="J29" s="131"/>
      <c r="K29" s="131"/>
      <c r="L29" s="131">
        <f t="shared" si="14"/>
        <v>0</v>
      </c>
      <c r="M29" s="131">
        <v>26</v>
      </c>
      <c r="N29" s="131">
        <v>185</v>
      </c>
      <c r="O29" s="131"/>
      <c r="P29" s="180">
        <f t="shared" si="17"/>
        <v>26</v>
      </c>
      <c r="Q29" s="180">
        <f t="shared" si="17"/>
        <v>185</v>
      </c>
      <c r="R29" s="180">
        <f t="shared" si="2"/>
        <v>0</v>
      </c>
    </row>
    <row r="30" spans="1:18" s="169" customFormat="1" ht="12.75">
      <c r="A30" s="95">
        <v>5</v>
      </c>
      <c r="B30" s="171"/>
      <c r="C30" s="189" t="s">
        <v>140</v>
      </c>
      <c r="D30" s="168">
        <f>+D31+D32+D33+D34+D35+D36+D37</f>
        <v>0</v>
      </c>
      <c r="E30" s="168">
        <f aca="true" t="shared" si="18" ref="E30:R30">+E31+E32+E33+E34+E35+E36+E37</f>
        <v>0</v>
      </c>
      <c r="F30" s="168">
        <f t="shared" si="18"/>
        <v>0</v>
      </c>
      <c r="G30" s="168">
        <f t="shared" si="18"/>
        <v>62</v>
      </c>
      <c r="H30" s="168">
        <f t="shared" si="18"/>
        <v>228</v>
      </c>
      <c r="I30" s="168">
        <f t="shared" si="18"/>
        <v>290</v>
      </c>
      <c r="J30" s="168">
        <f t="shared" si="18"/>
        <v>51</v>
      </c>
      <c r="K30" s="168">
        <f t="shared" si="18"/>
        <v>219</v>
      </c>
      <c r="L30" s="168">
        <f t="shared" si="18"/>
        <v>270</v>
      </c>
      <c r="M30" s="168">
        <f t="shared" si="18"/>
        <v>66</v>
      </c>
      <c r="N30" s="168">
        <f t="shared" si="18"/>
        <v>427</v>
      </c>
      <c r="O30" s="168">
        <f t="shared" si="18"/>
        <v>493</v>
      </c>
      <c r="P30" s="168">
        <f t="shared" si="18"/>
        <v>179</v>
      </c>
      <c r="Q30" s="168">
        <f t="shared" si="18"/>
        <v>874</v>
      </c>
      <c r="R30" s="168">
        <f t="shared" si="18"/>
        <v>1053</v>
      </c>
    </row>
    <row r="31" spans="1:18" s="30" customFormat="1" ht="12.75">
      <c r="A31" s="60">
        <v>22</v>
      </c>
      <c r="B31" s="136">
        <v>60510100</v>
      </c>
      <c r="C31" s="69" t="s">
        <v>53</v>
      </c>
      <c r="D31" s="131"/>
      <c r="E31" s="131"/>
      <c r="F31" s="131">
        <f aca="true" t="shared" si="19" ref="F31:F37">D31+E31</f>
        <v>0</v>
      </c>
      <c r="G31" s="131">
        <v>25</v>
      </c>
      <c r="H31" s="131">
        <v>139</v>
      </c>
      <c r="I31" s="131">
        <f aca="true" t="shared" si="20" ref="I31:I37">G31+H31</f>
        <v>164</v>
      </c>
      <c r="J31" s="131">
        <v>22</v>
      </c>
      <c r="K31" s="131">
        <v>104</v>
      </c>
      <c r="L31" s="131">
        <f aca="true" t="shared" si="21" ref="L31:L37">J31+K31</f>
        <v>126</v>
      </c>
      <c r="M31" s="131">
        <v>14</v>
      </c>
      <c r="N31" s="131">
        <v>142</v>
      </c>
      <c r="O31" s="131">
        <f aca="true" t="shared" si="22" ref="O31:O37">M31+N31</f>
        <v>156</v>
      </c>
      <c r="P31" s="180">
        <f aca="true" t="shared" si="23" ref="P31:Q33">G31+J31+M31+D31</f>
        <v>61</v>
      </c>
      <c r="Q31" s="180">
        <f t="shared" si="23"/>
        <v>385</v>
      </c>
      <c r="R31" s="180">
        <f t="shared" si="2"/>
        <v>446</v>
      </c>
    </row>
    <row r="32" spans="1:18" s="30" customFormat="1" ht="12.75">
      <c r="A32" s="60">
        <v>23</v>
      </c>
      <c r="B32" s="136">
        <v>60710200</v>
      </c>
      <c r="C32" s="52" t="s">
        <v>55</v>
      </c>
      <c r="D32" s="131"/>
      <c r="E32" s="131"/>
      <c r="F32" s="131">
        <f t="shared" si="19"/>
        <v>0</v>
      </c>
      <c r="G32" s="131">
        <v>10</v>
      </c>
      <c r="H32" s="131">
        <v>30</v>
      </c>
      <c r="I32" s="131">
        <f t="shared" si="20"/>
        <v>40</v>
      </c>
      <c r="J32" s="131">
        <v>8</v>
      </c>
      <c r="K32" s="131">
        <v>36</v>
      </c>
      <c r="L32" s="131">
        <f t="shared" si="21"/>
        <v>44</v>
      </c>
      <c r="M32" s="131">
        <v>6</v>
      </c>
      <c r="N32" s="131">
        <v>45</v>
      </c>
      <c r="O32" s="131">
        <f t="shared" si="22"/>
        <v>51</v>
      </c>
      <c r="P32" s="180">
        <f t="shared" si="23"/>
        <v>24</v>
      </c>
      <c r="Q32" s="180">
        <f t="shared" si="23"/>
        <v>111</v>
      </c>
      <c r="R32" s="180">
        <f t="shared" si="2"/>
        <v>135</v>
      </c>
    </row>
    <row r="33" spans="1:18" s="30" customFormat="1" ht="12.75">
      <c r="A33" s="60">
        <v>24</v>
      </c>
      <c r="B33" s="137">
        <v>60110900</v>
      </c>
      <c r="C33" s="93" t="s">
        <v>16</v>
      </c>
      <c r="D33" s="131"/>
      <c r="E33" s="131"/>
      <c r="F33" s="131">
        <f t="shared" si="19"/>
        <v>0</v>
      </c>
      <c r="G33" s="131"/>
      <c r="H33" s="131"/>
      <c r="I33" s="131">
        <f t="shared" si="20"/>
        <v>0</v>
      </c>
      <c r="J33" s="131"/>
      <c r="K33" s="131"/>
      <c r="L33" s="131">
        <f t="shared" si="21"/>
        <v>0</v>
      </c>
      <c r="M33" s="131">
        <v>15</v>
      </c>
      <c r="N33" s="131">
        <v>114</v>
      </c>
      <c r="O33" s="131">
        <f t="shared" si="22"/>
        <v>129</v>
      </c>
      <c r="P33" s="180">
        <f t="shared" si="23"/>
        <v>15</v>
      </c>
      <c r="Q33" s="180">
        <f t="shared" si="23"/>
        <v>114</v>
      </c>
      <c r="R33" s="180">
        <f t="shared" si="2"/>
        <v>129</v>
      </c>
    </row>
    <row r="34" spans="1:18" s="30" customFormat="1" ht="12.75">
      <c r="A34" s="60">
        <v>25</v>
      </c>
      <c r="B34" s="136">
        <v>60530100</v>
      </c>
      <c r="C34" s="52" t="s">
        <v>116</v>
      </c>
      <c r="D34" s="131"/>
      <c r="E34" s="131"/>
      <c r="F34" s="131">
        <f t="shared" si="19"/>
        <v>0</v>
      </c>
      <c r="G34" s="131">
        <v>14</v>
      </c>
      <c r="H34" s="131">
        <v>28</v>
      </c>
      <c r="I34" s="131">
        <f t="shared" si="20"/>
        <v>42</v>
      </c>
      <c r="J34" s="131">
        <v>15</v>
      </c>
      <c r="K34" s="131">
        <v>43</v>
      </c>
      <c r="L34" s="131">
        <f t="shared" si="21"/>
        <v>58</v>
      </c>
      <c r="M34" s="131">
        <v>10</v>
      </c>
      <c r="N34" s="131">
        <v>48</v>
      </c>
      <c r="O34" s="131">
        <f t="shared" si="22"/>
        <v>58</v>
      </c>
      <c r="P34" s="180">
        <f aca="true" t="shared" si="24" ref="P34:Q37">G34+J34+M34+D34</f>
        <v>39</v>
      </c>
      <c r="Q34" s="180">
        <f t="shared" si="24"/>
        <v>119</v>
      </c>
      <c r="R34" s="180">
        <f t="shared" si="2"/>
        <v>158</v>
      </c>
    </row>
    <row r="35" spans="1:18" s="30" customFormat="1" ht="12.75">
      <c r="A35" s="60">
        <v>26</v>
      </c>
      <c r="B35" s="136">
        <v>60710100</v>
      </c>
      <c r="C35" s="52" t="s">
        <v>70</v>
      </c>
      <c r="D35" s="131"/>
      <c r="E35" s="131"/>
      <c r="F35" s="131">
        <f t="shared" si="19"/>
        <v>0</v>
      </c>
      <c r="G35" s="131">
        <v>9</v>
      </c>
      <c r="H35" s="131">
        <v>25</v>
      </c>
      <c r="I35" s="131">
        <f t="shared" si="20"/>
        <v>34</v>
      </c>
      <c r="J35" s="131">
        <v>6</v>
      </c>
      <c r="K35" s="131">
        <v>36</v>
      </c>
      <c r="L35" s="131">
        <f t="shared" si="21"/>
        <v>42</v>
      </c>
      <c r="M35" s="131">
        <v>9</v>
      </c>
      <c r="N35" s="131">
        <v>40</v>
      </c>
      <c r="O35" s="131">
        <f t="shared" si="22"/>
        <v>49</v>
      </c>
      <c r="P35" s="180">
        <f t="shared" si="24"/>
        <v>24</v>
      </c>
      <c r="Q35" s="180">
        <f t="shared" si="24"/>
        <v>101</v>
      </c>
      <c r="R35" s="180">
        <f t="shared" si="2"/>
        <v>125</v>
      </c>
    </row>
    <row r="36" spans="1:18" s="30" customFormat="1" ht="22.5">
      <c r="A36" s="60">
        <v>27</v>
      </c>
      <c r="B36" s="136">
        <v>60720600</v>
      </c>
      <c r="C36" s="52" t="s">
        <v>69</v>
      </c>
      <c r="D36" s="131"/>
      <c r="E36" s="131"/>
      <c r="F36" s="131">
        <f t="shared" si="19"/>
        <v>0</v>
      </c>
      <c r="G36" s="131">
        <v>4</v>
      </c>
      <c r="H36" s="131">
        <v>6</v>
      </c>
      <c r="I36" s="131">
        <f t="shared" si="20"/>
        <v>10</v>
      </c>
      <c r="J36" s="131"/>
      <c r="K36" s="131"/>
      <c r="L36" s="131">
        <f t="shared" si="21"/>
        <v>0</v>
      </c>
      <c r="M36" s="131"/>
      <c r="N36" s="131"/>
      <c r="O36" s="131">
        <f t="shared" si="22"/>
        <v>0</v>
      </c>
      <c r="P36" s="180">
        <f t="shared" si="24"/>
        <v>4</v>
      </c>
      <c r="Q36" s="180">
        <f t="shared" si="24"/>
        <v>6</v>
      </c>
      <c r="R36" s="180">
        <f t="shared" si="2"/>
        <v>10</v>
      </c>
    </row>
    <row r="37" spans="1:18" s="30" customFormat="1" ht="12.75">
      <c r="A37" s="60">
        <v>28</v>
      </c>
      <c r="B37" s="137">
        <v>60110800</v>
      </c>
      <c r="C37" s="65" t="s">
        <v>21</v>
      </c>
      <c r="D37" s="131"/>
      <c r="E37" s="131"/>
      <c r="F37" s="131">
        <f t="shared" si="19"/>
        <v>0</v>
      </c>
      <c r="G37" s="131"/>
      <c r="H37" s="131"/>
      <c r="I37" s="131">
        <f t="shared" si="20"/>
        <v>0</v>
      </c>
      <c r="J37" s="131"/>
      <c r="K37" s="131"/>
      <c r="L37" s="131">
        <f t="shared" si="21"/>
        <v>0</v>
      </c>
      <c r="M37" s="131">
        <v>12</v>
      </c>
      <c r="N37" s="131">
        <v>38</v>
      </c>
      <c r="O37" s="131">
        <f t="shared" si="22"/>
        <v>50</v>
      </c>
      <c r="P37" s="180">
        <f t="shared" si="24"/>
        <v>12</v>
      </c>
      <c r="Q37" s="180">
        <f t="shared" si="24"/>
        <v>38</v>
      </c>
      <c r="R37" s="180">
        <f t="shared" si="2"/>
        <v>50</v>
      </c>
    </row>
    <row r="38" spans="1:18" s="169" customFormat="1" ht="12.75">
      <c r="A38" s="95">
        <v>6</v>
      </c>
      <c r="B38" s="171"/>
      <c r="C38" s="182" t="s">
        <v>50</v>
      </c>
      <c r="D38" s="168">
        <f>+D39+D40+D41+D42+D43</f>
        <v>0</v>
      </c>
      <c r="E38" s="168">
        <f aca="true" t="shared" si="25" ref="E38:R38">+E39+E40+E41+E42+E43</f>
        <v>0</v>
      </c>
      <c r="F38" s="168">
        <f t="shared" si="25"/>
        <v>0</v>
      </c>
      <c r="G38" s="168">
        <f t="shared" si="25"/>
        <v>24</v>
      </c>
      <c r="H38" s="168">
        <f t="shared" si="25"/>
        <v>45</v>
      </c>
      <c r="I38" s="168">
        <f t="shared" si="25"/>
        <v>69</v>
      </c>
      <c r="J38" s="168">
        <f t="shared" si="25"/>
        <v>13</v>
      </c>
      <c r="K38" s="168">
        <f t="shared" si="25"/>
        <v>52</v>
      </c>
      <c r="L38" s="168">
        <f t="shared" si="25"/>
        <v>65</v>
      </c>
      <c r="M38" s="168">
        <f t="shared" si="25"/>
        <v>20</v>
      </c>
      <c r="N38" s="168">
        <f t="shared" si="25"/>
        <v>80</v>
      </c>
      <c r="O38" s="168">
        <f t="shared" si="25"/>
        <v>100</v>
      </c>
      <c r="P38" s="168">
        <f t="shared" si="25"/>
        <v>57</v>
      </c>
      <c r="Q38" s="168">
        <f t="shared" si="25"/>
        <v>177</v>
      </c>
      <c r="R38" s="168">
        <f t="shared" si="25"/>
        <v>234</v>
      </c>
    </row>
    <row r="39" spans="1:18" ht="22.5">
      <c r="A39" s="60">
        <v>29</v>
      </c>
      <c r="B39" s="136">
        <v>60710400</v>
      </c>
      <c r="C39" s="52" t="s">
        <v>71</v>
      </c>
      <c r="D39" s="131"/>
      <c r="E39" s="131"/>
      <c r="F39" s="131">
        <f>D39+E39</f>
        <v>0</v>
      </c>
      <c r="G39" s="131">
        <v>12</v>
      </c>
      <c r="H39" s="131">
        <v>13</v>
      </c>
      <c r="I39" s="131">
        <f>G39+H39</f>
        <v>25</v>
      </c>
      <c r="J39" s="131">
        <v>6</v>
      </c>
      <c r="K39" s="131">
        <v>24</v>
      </c>
      <c r="L39" s="131">
        <f>J39+K39</f>
        <v>30</v>
      </c>
      <c r="M39" s="131">
        <v>5</v>
      </c>
      <c r="N39" s="131">
        <v>28</v>
      </c>
      <c r="O39" s="131">
        <f>M39+N39</f>
        <v>33</v>
      </c>
      <c r="P39" s="180">
        <f aca="true" t="shared" si="26" ref="P39:Q43">G39+J39+M39+D39</f>
        <v>23</v>
      </c>
      <c r="Q39" s="180">
        <f t="shared" si="26"/>
        <v>65</v>
      </c>
      <c r="R39" s="180">
        <f t="shared" si="2"/>
        <v>88</v>
      </c>
    </row>
    <row r="40" spans="1:18" ht="12.75">
      <c r="A40" s="60">
        <v>30</v>
      </c>
      <c r="B40" s="136">
        <v>60530400</v>
      </c>
      <c r="C40" s="69" t="s">
        <v>19</v>
      </c>
      <c r="D40" s="131"/>
      <c r="E40" s="131"/>
      <c r="F40" s="131">
        <f>D40+E40</f>
        <v>0</v>
      </c>
      <c r="G40" s="131">
        <v>10</v>
      </c>
      <c r="H40" s="131">
        <v>21</v>
      </c>
      <c r="I40" s="131">
        <f>G40+H40</f>
        <v>31</v>
      </c>
      <c r="J40" s="131">
        <v>6</v>
      </c>
      <c r="K40" s="131">
        <v>18</v>
      </c>
      <c r="L40" s="131">
        <f>J40+K40</f>
        <v>24</v>
      </c>
      <c r="M40" s="131">
        <v>7</v>
      </c>
      <c r="N40" s="131">
        <v>25</v>
      </c>
      <c r="O40" s="131">
        <f>M40+N40</f>
        <v>32</v>
      </c>
      <c r="P40" s="180">
        <f t="shared" si="26"/>
        <v>23</v>
      </c>
      <c r="Q40" s="180">
        <f t="shared" si="26"/>
        <v>64</v>
      </c>
      <c r="R40" s="180">
        <f t="shared" si="2"/>
        <v>87</v>
      </c>
    </row>
    <row r="41" spans="1:18" ht="12.75">
      <c r="A41" s="60">
        <v>31</v>
      </c>
      <c r="B41" s="136">
        <v>60520100</v>
      </c>
      <c r="C41" s="69" t="s">
        <v>46</v>
      </c>
      <c r="D41" s="131"/>
      <c r="E41" s="131"/>
      <c r="F41" s="131">
        <f>D41+E41</f>
        <v>0</v>
      </c>
      <c r="G41" s="131">
        <v>2</v>
      </c>
      <c r="H41" s="131">
        <v>9</v>
      </c>
      <c r="I41" s="131">
        <f>G41+H41</f>
        <v>11</v>
      </c>
      <c r="J41" s="131"/>
      <c r="K41" s="131"/>
      <c r="L41" s="131">
        <f>J41+K41</f>
        <v>0</v>
      </c>
      <c r="M41" s="131"/>
      <c r="N41" s="131"/>
      <c r="O41" s="131">
        <f>M41+N41</f>
        <v>0</v>
      </c>
      <c r="P41" s="180">
        <f t="shared" si="26"/>
        <v>2</v>
      </c>
      <c r="Q41" s="180">
        <f t="shared" si="26"/>
        <v>9</v>
      </c>
      <c r="R41" s="180">
        <f t="shared" si="2"/>
        <v>11</v>
      </c>
    </row>
    <row r="42" spans="1:18" ht="12.75">
      <c r="A42" s="60">
        <v>32</v>
      </c>
      <c r="B42" s="137">
        <v>60111000</v>
      </c>
      <c r="C42" s="93" t="s">
        <v>104</v>
      </c>
      <c r="D42" s="131"/>
      <c r="E42" s="131"/>
      <c r="F42" s="131">
        <f>D42+E42</f>
        <v>0</v>
      </c>
      <c r="G42" s="131"/>
      <c r="H42" s="131"/>
      <c r="I42" s="131">
        <f>G42+H42</f>
        <v>0</v>
      </c>
      <c r="J42" s="131"/>
      <c r="K42" s="131"/>
      <c r="L42" s="131">
        <f>J42+K42</f>
        <v>0</v>
      </c>
      <c r="M42" s="131">
        <v>5</v>
      </c>
      <c r="N42" s="131">
        <v>22</v>
      </c>
      <c r="O42" s="131">
        <f>M42+N42</f>
        <v>27</v>
      </c>
      <c r="P42" s="180">
        <f t="shared" si="26"/>
        <v>5</v>
      </c>
      <c r="Q42" s="180">
        <f t="shared" si="26"/>
        <v>22</v>
      </c>
      <c r="R42" s="180">
        <f t="shared" si="2"/>
        <v>27</v>
      </c>
    </row>
    <row r="43" spans="1:18" ht="12.75">
      <c r="A43" s="60">
        <v>33</v>
      </c>
      <c r="B43" s="136">
        <v>60530500</v>
      </c>
      <c r="C43" s="93" t="s">
        <v>105</v>
      </c>
      <c r="D43" s="131"/>
      <c r="E43" s="131"/>
      <c r="F43" s="131">
        <f>D43+E43</f>
        <v>0</v>
      </c>
      <c r="G43" s="131"/>
      <c r="H43" s="131">
        <v>2</v>
      </c>
      <c r="I43" s="131">
        <f>G43+H43</f>
        <v>2</v>
      </c>
      <c r="J43" s="131">
        <v>1</v>
      </c>
      <c r="K43" s="131">
        <v>10</v>
      </c>
      <c r="L43" s="131">
        <f>J43+K43</f>
        <v>11</v>
      </c>
      <c r="M43" s="131">
        <v>3</v>
      </c>
      <c r="N43" s="131">
        <v>5</v>
      </c>
      <c r="O43" s="131">
        <f>M43+N43</f>
        <v>8</v>
      </c>
      <c r="P43" s="180">
        <f t="shared" si="26"/>
        <v>4</v>
      </c>
      <c r="Q43" s="180">
        <f t="shared" si="26"/>
        <v>17</v>
      </c>
      <c r="R43" s="180">
        <f t="shared" si="2"/>
        <v>21</v>
      </c>
    </row>
    <row r="44" spans="1:18" s="169" customFormat="1" ht="12.75">
      <c r="A44" s="95">
        <v>7</v>
      </c>
      <c r="B44" s="171"/>
      <c r="C44" s="183" t="s">
        <v>119</v>
      </c>
      <c r="D44" s="168">
        <f>+D45+D46+D47+D48+D49</f>
        <v>0</v>
      </c>
      <c r="E44" s="168">
        <f aca="true" t="shared" si="27" ref="E44:R44">+E45+E46+E47+E48+E49</f>
        <v>0</v>
      </c>
      <c r="F44" s="168">
        <f t="shared" si="27"/>
        <v>0</v>
      </c>
      <c r="G44" s="168">
        <f t="shared" si="27"/>
        <v>8</v>
      </c>
      <c r="H44" s="168">
        <f t="shared" si="27"/>
        <v>15</v>
      </c>
      <c r="I44" s="168">
        <f t="shared" si="27"/>
        <v>23</v>
      </c>
      <c r="J44" s="168">
        <f t="shared" si="27"/>
        <v>0</v>
      </c>
      <c r="K44" s="168">
        <f t="shared" si="27"/>
        <v>7</v>
      </c>
      <c r="L44" s="168">
        <f t="shared" si="27"/>
        <v>7</v>
      </c>
      <c r="M44" s="168">
        <f t="shared" si="27"/>
        <v>1</v>
      </c>
      <c r="N44" s="168">
        <f t="shared" si="27"/>
        <v>15</v>
      </c>
      <c r="O44" s="168">
        <f t="shared" si="27"/>
        <v>16</v>
      </c>
      <c r="P44" s="168">
        <f t="shared" si="27"/>
        <v>9</v>
      </c>
      <c r="Q44" s="168">
        <f t="shared" si="27"/>
        <v>37</v>
      </c>
      <c r="R44" s="168">
        <f t="shared" si="27"/>
        <v>46</v>
      </c>
    </row>
    <row r="45" spans="1:18" ht="12.75">
      <c r="A45" s="60">
        <v>34</v>
      </c>
      <c r="B45" s="136">
        <v>60230600</v>
      </c>
      <c r="C45" s="52" t="s">
        <v>14</v>
      </c>
      <c r="D45" s="131"/>
      <c r="E45" s="131"/>
      <c r="F45" s="131">
        <f aca="true" t="shared" si="28" ref="F45:F58">D45+E45</f>
        <v>0</v>
      </c>
      <c r="G45" s="131">
        <v>4</v>
      </c>
      <c r="H45" s="131">
        <v>2</v>
      </c>
      <c r="I45" s="131">
        <f>G45+H45</f>
        <v>6</v>
      </c>
      <c r="J45" s="131"/>
      <c r="K45" s="131">
        <v>7</v>
      </c>
      <c r="L45" s="131">
        <f>J45+K45</f>
        <v>7</v>
      </c>
      <c r="M45" s="131">
        <v>1</v>
      </c>
      <c r="N45" s="131">
        <v>15</v>
      </c>
      <c r="O45" s="131">
        <f>M45+N45</f>
        <v>16</v>
      </c>
      <c r="P45" s="180">
        <f>G45+J45+M45+D45</f>
        <v>5</v>
      </c>
      <c r="Q45" s="180">
        <f>H45+K45+N45+E45</f>
        <v>24</v>
      </c>
      <c r="R45" s="180">
        <f t="shared" si="2"/>
        <v>29</v>
      </c>
    </row>
    <row r="46" spans="1:18" ht="12.75">
      <c r="A46" s="60">
        <v>35</v>
      </c>
      <c r="B46" s="130">
        <v>60410500</v>
      </c>
      <c r="C46" s="93" t="s">
        <v>130</v>
      </c>
      <c r="D46" s="131"/>
      <c r="E46" s="131"/>
      <c r="F46" s="131">
        <f t="shared" si="28"/>
        <v>0</v>
      </c>
      <c r="G46" s="131">
        <v>1</v>
      </c>
      <c r="H46" s="131">
        <v>4</v>
      </c>
      <c r="I46" s="131">
        <f>G46+H46</f>
        <v>5</v>
      </c>
      <c r="J46" s="131"/>
      <c r="K46" s="131"/>
      <c r="L46" s="131">
        <f>J46+K46</f>
        <v>0</v>
      </c>
      <c r="M46" s="131"/>
      <c r="N46" s="131"/>
      <c r="O46" s="131">
        <f>M46+N46</f>
        <v>0</v>
      </c>
      <c r="P46" s="180">
        <f aca="true" t="shared" si="29" ref="P46:Q49">G46+J46+M46+D46</f>
        <v>1</v>
      </c>
      <c r="Q46" s="180">
        <f t="shared" si="29"/>
        <v>4</v>
      </c>
      <c r="R46" s="180">
        <f>F46+I46+L46+O46</f>
        <v>5</v>
      </c>
    </row>
    <row r="47" spans="1:18" ht="12.75">
      <c r="A47" s="60">
        <v>36</v>
      </c>
      <c r="B47" s="130">
        <v>60411400</v>
      </c>
      <c r="C47" s="93" t="s">
        <v>131</v>
      </c>
      <c r="D47" s="131"/>
      <c r="E47" s="131"/>
      <c r="F47" s="131">
        <f t="shared" si="28"/>
        <v>0</v>
      </c>
      <c r="G47" s="131">
        <v>2</v>
      </c>
      <c r="H47" s="131">
        <v>7</v>
      </c>
      <c r="I47" s="131">
        <f>G47+H47</f>
        <v>9</v>
      </c>
      <c r="J47" s="131"/>
      <c r="K47" s="131"/>
      <c r="L47" s="131">
        <f>J47+K47</f>
        <v>0</v>
      </c>
      <c r="M47" s="131"/>
      <c r="N47" s="131"/>
      <c r="O47" s="131">
        <f>M47+N47</f>
        <v>0</v>
      </c>
      <c r="P47" s="180">
        <f t="shared" si="29"/>
        <v>2</v>
      </c>
      <c r="Q47" s="180">
        <f t="shared" si="29"/>
        <v>7</v>
      </c>
      <c r="R47" s="180">
        <f>F47+I47+L47+O47</f>
        <v>9</v>
      </c>
    </row>
    <row r="48" spans="1:18" ht="12.75">
      <c r="A48" s="60">
        <v>37</v>
      </c>
      <c r="B48" s="130">
        <v>60412400</v>
      </c>
      <c r="C48" s="93" t="s">
        <v>132</v>
      </c>
      <c r="D48" s="131"/>
      <c r="E48" s="131"/>
      <c r="F48" s="131">
        <f t="shared" si="28"/>
        <v>0</v>
      </c>
      <c r="G48" s="131"/>
      <c r="H48" s="131"/>
      <c r="I48" s="131">
        <f>G48+H48</f>
        <v>0</v>
      </c>
      <c r="J48" s="131"/>
      <c r="K48" s="131"/>
      <c r="L48" s="131">
        <f>J48+K48</f>
        <v>0</v>
      </c>
      <c r="M48" s="131"/>
      <c r="N48" s="131"/>
      <c r="O48" s="131">
        <f>M48+N48</f>
        <v>0</v>
      </c>
      <c r="P48" s="180">
        <f t="shared" si="29"/>
        <v>0</v>
      </c>
      <c r="Q48" s="180">
        <f t="shared" si="29"/>
        <v>0</v>
      </c>
      <c r="R48" s="180">
        <f>F48+I48+L48+O48</f>
        <v>0</v>
      </c>
    </row>
    <row r="49" spans="1:18" ht="12.75">
      <c r="A49" s="60">
        <v>38</v>
      </c>
      <c r="B49" s="130">
        <v>60310500</v>
      </c>
      <c r="C49" s="93" t="s">
        <v>133</v>
      </c>
      <c r="D49" s="131"/>
      <c r="E49" s="131"/>
      <c r="F49" s="131">
        <f t="shared" si="28"/>
        <v>0</v>
      </c>
      <c r="G49" s="131">
        <v>1</v>
      </c>
      <c r="H49" s="131">
        <v>2</v>
      </c>
      <c r="I49" s="131">
        <f>G49+H49</f>
        <v>3</v>
      </c>
      <c r="J49" s="131"/>
      <c r="K49" s="131"/>
      <c r="L49" s="131">
        <f>J49+K49</f>
        <v>0</v>
      </c>
      <c r="M49" s="131"/>
      <c r="N49" s="131"/>
      <c r="O49" s="131">
        <f>M49+N49</f>
        <v>0</v>
      </c>
      <c r="P49" s="180">
        <f t="shared" si="29"/>
        <v>1</v>
      </c>
      <c r="Q49" s="180">
        <f t="shared" si="29"/>
        <v>2</v>
      </c>
      <c r="R49" s="180">
        <f>F49+I49+L49+O49</f>
        <v>3</v>
      </c>
    </row>
    <row r="50" spans="1:18" s="169" customFormat="1" ht="12.75">
      <c r="A50" s="95">
        <v>8</v>
      </c>
      <c r="B50" s="171"/>
      <c r="C50" s="182" t="s">
        <v>135</v>
      </c>
      <c r="D50" s="168">
        <f>D51+D52+D53+D54+D55</f>
        <v>0</v>
      </c>
      <c r="E50" s="168">
        <f aca="true" t="shared" si="30" ref="E50:R50">E51+E52+E53+E54+E55</f>
        <v>0</v>
      </c>
      <c r="F50" s="168">
        <f t="shared" si="30"/>
        <v>0</v>
      </c>
      <c r="G50" s="168">
        <f>G51+G52+G53+G54+G55</f>
        <v>69</v>
      </c>
      <c r="H50" s="168">
        <f>H51+H52+H53+H54+H55</f>
        <v>137</v>
      </c>
      <c r="I50" s="168">
        <f t="shared" si="30"/>
        <v>206</v>
      </c>
      <c r="J50" s="168">
        <f>J51+J52+J53+J54+J55</f>
        <v>56</v>
      </c>
      <c r="K50" s="168">
        <f>K51+K52+K53+K54+K55</f>
        <v>113</v>
      </c>
      <c r="L50" s="168">
        <f t="shared" si="30"/>
        <v>169</v>
      </c>
      <c r="M50" s="168">
        <f>M51+M52+M53+M54+M55</f>
        <v>25</v>
      </c>
      <c r="N50" s="168">
        <f>N51+N52+N53+N54+N55</f>
        <v>144</v>
      </c>
      <c r="O50" s="168">
        <f t="shared" si="30"/>
        <v>169</v>
      </c>
      <c r="P50" s="168">
        <f t="shared" si="30"/>
        <v>150</v>
      </c>
      <c r="Q50" s="168">
        <f t="shared" si="30"/>
        <v>394</v>
      </c>
      <c r="R50" s="168">
        <f t="shared" si="30"/>
        <v>544</v>
      </c>
    </row>
    <row r="51" spans="1:18" ht="12.75">
      <c r="A51" s="60">
        <v>39</v>
      </c>
      <c r="B51" s="136">
        <v>60310900</v>
      </c>
      <c r="C51" s="52" t="s">
        <v>54</v>
      </c>
      <c r="D51" s="131"/>
      <c r="E51" s="131"/>
      <c r="F51" s="131">
        <f>D51+E51</f>
        <v>0</v>
      </c>
      <c r="G51" s="131">
        <v>47</v>
      </c>
      <c r="H51" s="131">
        <v>82</v>
      </c>
      <c r="I51" s="131">
        <f>G51+H51</f>
        <v>129</v>
      </c>
      <c r="J51" s="131"/>
      <c r="K51" s="131"/>
      <c r="L51" s="131">
        <f>J51+K51</f>
        <v>0</v>
      </c>
      <c r="M51" s="131"/>
      <c r="N51" s="131"/>
      <c r="O51" s="131">
        <f>M51+N51</f>
        <v>0</v>
      </c>
      <c r="P51" s="180">
        <f>G51+J51+M51+D51</f>
        <v>47</v>
      </c>
      <c r="Q51" s="180">
        <f>H51+K51+N51+E51</f>
        <v>82</v>
      </c>
      <c r="R51" s="180">
        <f t="shared" si="2"/>
        <v>129</v>
      </c>
    </row>
    <row r="52" spans="1:18" ht="12.75">
      <c r="A52" s="60">
        <v>40</v>
      </c>
      <c r="B52" s="130">
        <v>5520100</v>
      </c>
      <c r="C52" s="69" t="s">
        <v>20</v>
      </c>
      <c r="D52" s="131"/>
      <c r="E52" s="131"/>
      <c r="F52" s="131">
        <f t="shared" si="28"/>
        <v>0</v>
      </c>
      <c r="G52" s="131">
        <v>9</v>
      </c>
      <c r="H52" s="131">
        <v>32</v>
      </c>
      <c r="I52" s="131">
        <f>G52+H52</f>
        <v>41</v>
      </c>
      <c r="J52" s="131">
        <v>10</v>
      </c>
      <c r="K52" s="131">
        <v>30</v>
      </c>
      <c r="L52" s="131">
        <f>J52+K52</f>
        <v>40</v>
      </c>
      <c r="M52" s="131">
        <v>7</v>
      </c>
      <c r="N52" s="131">
        <v>54</v>
      </c>
      <c r="O52" s="131">
        <f>M52+N52</f>
        <v>61</v>
      </c>
      <c r="P52" s="180">
        <f aca="true" t="shared" si="31" ref="P52:Q54">G52+J52+M52+D52</f>
        <v>26</v>
      </c>
      <c r="Q52" s="180">
        <f t="shared" si="31"/>
        <v>116</v>
      </c>
      <c r="R52" s="180">
        <f t="shared" si="2"/>
        <v>142</v>
      </c>
    </row>
    <row r="53" spans="1:18" ht="12.75">
      <c r="A53" s="60">
        <v>41</v>
      </c>
      <c r="B53" s="136">
        <v>60311000</v>
      </c>
      <c r="C53" s="65" t="s">
        <v>81</v>
      </c>
      <c r="D53" s="131"/>
      <c r="E53" s="131"/>
      <c r="F53" s="131">
        <f t="shared" si="28"/>
        <v>0</v>
      </c>
      <c r="G53" s="131">
        <v>9</v>
      </c>
      <c r="H53" s="131">
        <v>10</v>
      </c>
      <c r="I53" s="131">
        <f>G53+H53</f>
        <v>19</v>
      </c>
      <c r="J53" s="131">
        <v>9</v>
      </c>
      <c r="K53" s="131">
        <v>31</v>
      </c>
      <c r="L53" s="131">
        <f>J53+K53</f>
        <v>40</v>
      </c>
      <c r="M53" s="131">
        <v>8</v>
      </c>
      <c r="N53" s="131">
        <v>18</v>
      </c>
      <c r="O53" s="131">
        <f>M53+N53</f>
        <v>26</v>
      </c>
      <c r="P53" s="180">
        <f t="shared" si="31"/>
        <v>26</v>
      </c>
      <c r="Q53" s="180">
        <f t="shared" si="31"/>
        <v>59</v>
      </c>
      <c r="R53" s="180">
        <f t="shared" si="2"/>
        <v>85</v>
      </c>
    </row>
    <row r="54" spans="1:18" ht="12.75">
      <c r="A54" s="60">
        <v>42</v>
      </c>
      <c r="B54" s="136">
        <v>60310900</v>
      </c>
      <c r="C54" s="65" t="s">
        <v>82</v>
      </c>
      <c r="D54" s="131"/>
      <c r="E54" s="131"/>
      <c r="F54" s="131">
        <f t="shared" si="28"/>
        <v>0</v>
      </c>
      <c r="G54" s="131"/>
      <c r="H54" s="131"/>
      <c r="I54" s="131">
        <f>G54+H54</f>
        <v>0</v>
      </c>
      <c r="J54" s="131">
        <v>37</v>
      </c>
      <c r="K54" s="131">
        <v>52</v>
      </c>
      <c r="L54" s="131">
        <f>J54+K54</f>
        <v>89</v>
      </c>
      <c r="M54" s="131">
        <v>10</v>
      </c>
      <c r="N54" s="131">
        <v>72</v>
      </c>
      <c r="O54" s="131">
        <f>M54+N54</f>
        <v>82</v>
      </c>
      <c r="P54" s="180">
        <f t="shared" si="31"/>
        <v>47</v>
      </c>
      <c r="Q54" s="180">
        <f t="shared" si="31"/>
        <v>124</v>
      </c>
      <c r="R54" s="180">
        <f t="shared" si="2"/>
        <v>171</v>
      </c>
    </row>
    <row r="55" spans="1:18" ht="12.75">
      <c r="A55" s="60">
        <v>43</v>
      </c>
      <c r="B55" s="136">
        <v>60220500</v>
      </c>
      <c r="C55" s="69" t="s">
        <v>60</v>
      </c>
      <c r="D55" s="131"/>
      <c r="E55" s="131"/>
      <c r="F55" s="131">
        <f t="shared" si="28"/>
        <v>0</v>
      </c>
      <c r="G55" s="131">
        <v>4</v>
      </c>
      <c r="H55" s="131">
        <v>13</v>
      </c>
      <c r="I55" s="131">
        <f>G55+H55</f>
        <v>17</v>
      </c>
      <c r="J55" s="131"/>
      <c r="K55" s="131"/>
      <c r="L55" s="131">
        <f>J55+K55</f>
        <v>0</v>
      </c>
      <c r="M55" s="131"/>
      <c r="N55" s="131"/>
      <c r="O55" s="131">
        <f>M55+N55</f>
        <v>0</v>
      </c>
      <c r="P55" s="180">
        <f>G55+J55+M55+D55</f>
        <v>4</v>
      </c>
      <c r="Q55" s="180">
        <f>H55+K55+N55+E55</f>
        <v>13</v>
      </c>
      <c r="R55" s="180">
        <f>F55+I55+L55+O55</f>
        <v>17</v>
      </c>
    </row>
    <row r="56" spans="1:18" s="169" customFormat="1" ht="12.75">
      <c r="A56" s="95">
        <v>9</v>
      </c>
      <c r="B56" s="171"/>
      <c r="C56" s="190" t="s">
        <v>141</v>
      </c>
      <c r="D56" s="168">
        <f>+D57+D58+D59+D60+D61+D62+D63+D64</f>
        <v>0</v>
      </c>
      <c r="E56" s="168">
        <f aca="true" t="shared" si="32" ref="E56:R56">+E57+E58+E59+E60+E61+E62+E63+E64</f>
        <v>0</v>
      </c>
      <c r="F56" s="168">
        <f t="shared" si="32"/>
        <v>0</v>
      </c>
      <c r="G56" s="168">
        <f t="shared" si="32"/>
        <v>0</v>
      </c>
      <c r="H56" s="168">
        <f t="shared" si="32"/>
        <v>0</v>
      </c>
      <c r="I56" s="168">
        <f t="shared" si="32"/>
        <v>0</v>
      </c>
      <c r="J56" s="168">
        <f t="shared" si="32"/>
        <v>30</v>
      </c>
      <c r="K56" s="168">
        <f t="shared" si="32"/>
        <v>74</v>
      </c>
      <c r="L56" s="168">
        <f t="shared" si="32"/>
        <v>104</v>
      </c>
      <c r="M56" s="168">
        <f t="shared" si="32"/>
        <v>55</v>
      </c>
      <c r="N56" s="168">
        <f t="shared" si="32"/>
        <v>365</v>
      </c>
      <c r="O56" s="168">
        <f t="shared" si="32"/>
        <v>420</v>
      </c>
      <c r="P56" s="168">
        <f t="shared" si="32"/>
        <v>85</v>
      </c>
      <c r="Q56" s="168">
        <f t="shared" si="32"/>
        <v>439</v>
      </c>
      <c r="R56" s="168">
        <f t="shared" si="32"/>
        <v>524</v>
      </c>
    </row>
    <row r="57" spans="1:18" s="6" customFormat="1" ht="12.75">
      <c r="A57" s="60">
        <v>44</v>
      </c>
      <c r="B57" s="141">
        <v>60210400</v>
      </c>
      <c r="C57" s="141" t="s">
        <v>137</v>
      </c>
      <c r="D57" s="131"/>
      <c r="E57" s="131"/>
      <c r="F57" s="131">
        <f t="shared" si="28"/>
        <v>0</v>
      </c>
      <c r="G57" s="131"/>
      <c r="H57" s="131"/>
      <c r="I57" s="131">
        <f aca="true" t="shared" si="33" ref="I57:I63">G57+H57</f>
        <v>0</v>
      </c>
      <c r="J57" s="131"/>
      <c r="K57" s="131"/>
      <c r="L57" s="131">
        <f aca="true" t="shared" si="34" ref="L57:L63">J57+K57</f>
        <v>0</v>
      </c>
      <c r="M57" s="131"/>
      <c r="N57" s="131"/>
      <c r="O57" s="131">
        <f aca="true" t="shared" si="35" ref="O57:O63">M57+N57</f>
        <v>0</v>
      </c>
      <c r="P57" s="180">
        <f aca="true" t="shared" si="36" ref="P57:Q59">D57+G57+J57+M57</f>
        <v>0</v>
      </c>
      <c r="Q57" s="180">
        <f t="shared" si="36"/>
        <v>0</v>
      </c>
      <c r="R57" s="180">
        <f t="shared" si="2"/>
        <v>0</v>
      </c>
    </row>
    <row r="58" spans="1:18" s="6" customFormat="1" ht="12.75">
      <c r="A58" s="60">
        <v>45</v>
      </c>
      <c r="B58" s="130">
        <v>5610535</v>
      </c>
      <c r="C58" s="69" t="s">
        <v>56</v>
      </c>
      <c r="D58" s="131"/>
      <c r="E58" s="131"/>
      <c r="F58" s="131">
        <f t="shared" si="28"/>
        <v>0</v>
      </c>
      <c r="G58" s="131"/>
      <c r="H58" s="131"/>
      <c r="I58" s="131">
        <f t="shared" si="33"/>
        <v>0</v>
      </c>
      <c r="J58" s="131">
        <f>16+5-4</f>
        <v>17</v>
      </c>
      <c r="K58" s="131">
        <v>38</v>
      </c>
      <c r="L58" s="131">
        <f t="shared" si="34"/>
        <v>55</v>
      </c>
      <c r="M58" s="131"/>
      <c r="N58" s="131"/>
      <c r="O58" s="131">
        <f t="shared" si="35"/>
        <v>0</v>
      </c>
      <c r="P58" s="180">
        <f t="shared" si="36"/>
        <v>17</v>
      </c>
      <c r="Q58" s="180">
        <f t="shared" si="36"/>
        <v>38</v>
      </c>
      <c r="R58" s="180">
        <f t="shared" si="2"/>
        <v>55</v>
      </c>
    </row>
    <row r="59" spans="1:18" s="6" customFormat="1" ht="12.75">
      <c r="A59" s="60">
        <v>46</v>
      </c>
      <c r="B59" s="130">
        <v>5310500</v>
      </c>
      <c r="C59" s="69" t="s">
        <v>118</v>
      </c>
      <c r="D59" s="131"/>
      <c r="E59" s="131"/>
      <c r="F59" s="131">
        <f aca="true" t="shared" si="37" ref="F59:F64">D59+E59</f>
        <v>0</v>
      </c>
      <c r="G59" s="131"/>
      <c r="H59" s="131"/>
      <c r="I59" s="131">
        <f t="shared" si="33"/>
        <v>0</v>
      </c>
      <c r="J59" s="131"/>
      <c r="K59" s="131">
        <v>6</v>
      </c>
      <c r="L59" s="131">
        <f t="shared" si="34"/>
        <v>6</v>
      </c>
      <c r="M59" s="131"/>
      <c r="N59" s="131"/>
      <c r="O59" s="131">
        <f t="shared" si="35"/>
        <v>0</v>
      </c>
      <c r="P59" s="180">
        <f t="shared" si="36"/>
        <v>0</v>
      </c>
      <c r="Q59" s="180">
        <f t="shared" si="36"/>
        <v>6</v>
      </c>
      <c r="R59" s="180">
        <f t="shared" si="2"/>
        <v>6</v>
      </c>
    </row>
    <row r="60" spans="1:18" s="6" customFormat="1" ht="12.75">
      <c r="A60" s="60">
        <v>47</v>
      </c>
      <c r="B60" s="137">
        <v>60210500</v>
      </c>
      <c r="C60" s="65" t="s">
        <v>83</v>
      </c>
      <c r="D60" s="131"/>
      <c r="E60" s="131"/>
      <c r="F60" s="131">
        <f t="shared" si="37"/>
        <v>0</v>
      </c>
      <c r="G60" s="131"/>
      <c r="H60" s="131"/>
      <c r="I60" s="131">
        <f t="shared" si="33"/>
        <v>0</v>
      </c>
      <c r="J60" s="131">
        <v>4</v>
      </c>
      <c r="K60" s="131">
        <v>15</v>
      </c>
      <c r="L60" s="131">
        <f t="shared" si="34"/>
        <v>19</v>
      </c>
      <c r="M60" s="131">
        <v>2</v>
      </c>
      <c r="N60" s="131">
        <v>14</v>
      </c>
      <c r="O60" s="131">
        <f t="shared" si="35"/>
        <v>16</v>
      </c>
      <c r="P60" s="180">
        <f aca="true" t="shared" si="38" ref="P60:Q63">G60+J60+M60+D60</f>
        <v>6</v>
      </c>
      <c r="Q60" s="180">
        <f t="shared" si="38"/>
        <v>29</v>
      </c>
      <c r="R60" s="180">
        <f t="shared" si="2"/>
        <v>35</v>
      </c>
    </row>
    <row r="61" spans="1:18" s="6" customFormat="1" ht="12.75">
      <c r="A61" s="60">
        <v>48</v>
      </c>
      <c r="B61" s="137">
        <v>60211400</v>
      </c>
      <c r="C61" s="65" t="s">
        <v>84</v>
      </c>
      <c r="D61" s="131"/>
      <c r="E61" s="131"/>
      <c r="F61" s="131">
        <f t="shared" si="37"/>
        <v>0</v>
      </c>
      <c r="G61" s="131"/>
      <c r="H61" s="131"/>
      <c r="I61" s="131">
        <f t="shared" si="33"/>
        <v>0</v>
      </c>
      <c r="J61" s="131">
        <v>2</v>
      </c>
      <c r="K61" s="131">
        <v>4</v>
      </c>
      <c r="L61" s="131">
        <f t="shared" si="34"/>
        <v>6</v>
      </c>
      <c r="M61" s="131">
        <v>5</v>
      </c>
      <c r="N61" s="131">
        <v>5</v>
      </c>
      <c r="O61" s="131">
        <f t="shared" si="35"/>
        <v>10</v>
      </c>
      <c r="P61" s="180">
        <f t="shared" si="38"/>
        <v>7</v>
      </c>
      <c r="Q61" s="180">
        <f t="shared" si="38"/>
        <v>9</v>
      </c>
      <c r="R61" s="180">
        <f t="shared" si="2"/>
        <v>16</v>
      </c>
    </row>
    <row r="62" spans="1:18" s="6" customFormat="1" ht="12.75">
      <c r="A62" s="60">
        <v>49</v>
      </c>
      <c r="B62" s="137">
        <v>60211500</v>
      </c>
      <c r="C62" s="52" t="s">
        <v>86</v>
      </c>
      <c r="D62" s="131"/>
      <c r="E62" s="131"/>
      <c r="F62" s="131">
        <f t="shared" si="37"/>
        <v>0</v>
      </c>
      <c r="G62" s="131"/>
      <c r="H62" s="131"/>
      <c r="I62" s="131">
        <f t="shared" si="33"/>
        <v>0</v>
      </c>
      <c r="J62" s="131">
        <v>2</v>
      </c>
      <c r="K62" s="131">
        <v>4</v>
      </c>
      <c r="L62" s="131">
        <f t="shared" si="34"/>
        <v>6</v>
      </c>
      <c r="M62" s="131">
        <v>3</v>
      </c>
      <c r="N62" s="131">
        <v>13</v>
      </c>
      <c r="O62" s="131">
        <f t="shared" si="35"/>
        <v>16</v>
      </c>
      <c r="P62" s="180">
        <f t="shared" si="38"/>
        <v>5</v>
      </c>
      <c r="Q62" s="180">
        <f t="shared" si="38"/>
        <v>17</v>
      </c>
      <c r="R62" s="180">
        <f t="shared" si="2"/>
        <v>22</v>
      </c>
    </row>
    <row r="63" spans="1:18" s="6" customFormat="1" ht="12.75">
      <c r="A63" s="60">
        <v>50</v>
      </c>
      <c r="B63" s="137">
        <v>60210800</v>
      </c>
      <c r="C63" s="65" t="s">
        <v>85</v>
      </c>
      <c r="D63" s="131"/>
      <c r="E63" s="131"/>
      <c r="F63" s="131">
        <f t="shared" si="37"/>
        <v>0</v>
      </c>
      <c r="G63" s="131"/>
      <c r="H63" s="131"/>
      <c r="I63" s="131">
        <f t="shared" si="33"/>
        <v>0</v>
      </c>
      <c r="J63" s="131">
        <v>5</v>
      </c>
      <c r="K63" s="131">
        <v>7</v>
      </c>
      <c r="L63" s="131">
        <f t="shared" si="34"/>
        <v>12</v>
      </c>
      <c r="M63" s="131">
        <v>4</v>
      </c>
      <c r="N63" s="131">
        <v>14</v>
      </c>
      <c r="O63" s="131">
        <f t="shared" si="35"/>
        <v>18</v>
      </c>
      <c r="P63" s="180">
        <f t="shared" si="38"/>
        <v>9</v>
      </c>
      <c r="Q63" s="180">
        <f t="shared" si="38"/>
        <v>21</v>
      </c>
      <c r="R63" s="180">
        <f t="shared" si="2"/>
        <v>30</v>
      </c>
    </row>
    <row r="64" spans="1:18" ht="12.75">
      <c r="A64" s="60">
        <v>51</v>
      </c>
      <c r="B64" s="136">
        <v>60110500</v>
      </c>
      <c r="C64" s="93" t="s">
        <v>112</v>
      </c>
      <c r="D64" s="131"/>
      <c r="E64" s="131"/>
      <c r="F64" s="131">
        <f t="shared" si="37"/>
        <v>0</v>
      </c>
      <c r="G64" s="131"/>
      <c r="H64" s="131"/>
      <c r="I64" s="131">
        <f>G64+H64</f>
        <v>0</v>
      </c>
      <c r="J64" s="131"/>
      <c r="K64" s="131"/>
      <c r="L64" s="131">
        <f>J64+K64</f>
        <v>0</v>
      </c>
      <c r="M64" s="131">
        <v>41</v>
      </c>
      <c r="N64" s="131">
        <v>319</v>
      </c>
      <c r="O64" s="131">
        <f>M64+N64</f>
        <v>360</v>
      </c>
      <c r="P64" s="180">
        <f>G64+J64+M64+D64</f>
        <v>41</v>
      </c>
      <c r="Q64" s="180">
        <f>H64+K64+N64+E64</f>
        <v>319</v>
      </c>
      <c r="R64" s="180">
        <f t="shared" si="2"/>
        <v>360</v>
      </c>
    </row>
    <row r="65" spans="1:18" s="169" customFormat="1" ht="12.75">
      <c r="A65" s="95">
        <v>10</v>
      </c>
      <c r="B65" s="171"/>
      <c r="C65" s="182" t="s">
        <v>38</v>
      </c>
      <c r="D65" s="168">
        <f>+D66+D67+D68</f>
        <v>0</v>
      </c>
      <c r="E65" s="168">
        <f aca="true" t="shared" si="39" ref="E65:R65">+E66+E67+E68</f>
        <v>0</v>
      </c>
      <c r="F65" s="168">
        <f t="shared" si="39"/>
        <v>0</v>
      </c>
      <c r="G65" s="168">
        <f t="shared" si="39"/>
        <v>15</v>
      </c>
      <c r="H65" s="168">
        <f t="shared" si="39"/>
        <v>63</v>
      </c>
      <c r="I65" s="168">
        <f t="shared" si="39"/>
        <v>78</v>
      </c>
      <c r="J65" s="168">
        <f t="shared" si="39"/>
        <v>21</v>
      </c>
      <c r="K65" s="168">
        <f t="shared" si="39"/>
        <v>55</v>
      </c>
      <c r="L65" s="168">
        <f t="shared" si="39"/>
        <v>76</v>
      </c>
      <c r="M65" s="168">
        <f t="shared" si="39"/>
        <v>14</v>
      </c>
      <c r="N65" s="168">
        <f t="shared" si="39"/>
        <v>69</v>
      </c>
      <c r="O65" s="168">
        <f t="shared" si="39"/>
        <v>83</v>
      </c>
      <c r="P65" s="168">
        <f t="shared" si="39"/>
        <v>50</v>
      </c>
      <c r="Q65" s="168">
        <f t="shared" si="39"/>
        <v>187</v>
      </c>
      <c r="R65" s="168">
        <f t="shared" si="39"/>
        <v>237</v>
      </c>
    </row>
    <row r="66" spans="1:18" ht="12.75">
      <c r="A66" s="60">
        <v>52</v>
      </c>
      <c r="B66" s="136">
        <v>60220300</v>
      </c>
      <c r="C66" s="52" t="s">
        <v>17</v>
      </c>
      <c r="D66" s="131"/>
      <c r="E66" s="131"/>
      <c r="F66" s="131">
        <f>D66+E66</f>
        <v>0</v>
      </c>
      <c r="G66" s="131">
        <v>13</v>
      </c>
      <c r="H66" s="131">
        <v>57</v>
      </c>
      <c r="I66" s="131">
        <f>G66+H66</f>
        <v>70</v>
      </c>
      <c r="J66" s="131">
        <v>18</v>
      </c>
      <c r="K66" s="131">
        <v>46</v>
      </c>
      <c r="L66" s="131">
        <f>J66+K66</f>
        <v>64</v>
      </c>
      <c r="M66" s="131">
        <v>4</v>
      </c>
      <c r="N66" s="131">
        <v>32</v>
      </c>
      <c r="O66" s="131">
        <f>M66+N66</f>
        <v>36</v>
      </c>
      <c r="P66" s="180">
        <f aca="true" t="shared" si="40" ref="P66:Q68">G66+J66+M66+D66</f>
        <v>35</v>
      </c>
      <c r="Q66" s="180">
        <f t="shared" si="40"/>
        <v>135</v>
      </c>
      <c r="R66" s="180">
        <f>F66+I66+L66+O66</f>
        <v>170</v>
      </c>
    </row>
    <row r="67" spans="1:18" s="6" customFormat="1" ht="12.75">
      <c r="A67" s="60">
        <v>53</v>
      </c>
      <c r="B67" s="136">
        <v>60220400</v>
      </c>
      <c r="C67" s="69" t="s">
        <v>24</v>
      </c>
      <c r="D67" s="131"/>
      <c r="E67" s="131"/>
      <c r="F67" s="131">
        <f>D67+E67</f>
        <v>0</v>
      </c>
      <c r="G67" s="131">
        <v>2</v>
      </c>
      <c r="H67" s="131">
        <v>6</v>
      </c>
      <c r="I67" s="131">
        <f>G67+H67</f>
        <v>8</v>
      </c>
      <c r="J67" s="131">
        <v>3</v>
      </c>
      <c r="K67" s="131">
        <v>9</v>
      </c>
      <c r="L67" s="131">
        <f>J67+K67</f>
        <v>12</v>
      </c>
      <c r="M67" s="131">
        <v>2</v>
      </c>
      <c r="N67" s="131">
        <v>8</v>
      </c>
      <c r="O67" s="131">
        <f>M67+N67</f>
        <v>10</v>
      </c>
      <c r="P67" s="180">
        <f t="shared" si="40"/>
        <v>7</v>
      </c>
      <c r="Q67" s="180">
        <f t="shared" si="40"/>
        <v>23</v>
      </c>
      <c r="R67" s="180">
        <f>F67+I67+L67+O67</f>
        <v>30</v>
      </c>
    </row>
    <row r="68" spans="1:18" s="6" customFormat="1" ht="12.75">
      <c r="A68" s="60">
        <v>54</v>
      </c>
      <c r="B68" s="136">
        <v>60111100</v>
      </c>
      <c r="C68" s="93" t="s">
        <v>17</v>
      </c>
      <c r="D68" s="131"/>
      <c r="E68" s="131"/>
      <c r="F68" s="131">
        <f>D68+E68</f>
        <v>0</v>
      </c>
      <c r="G68" s="131"/>
      <c r="H68" s="131"/>
      <c r="I68" s="131">
        <f>G68+H68</f>
        <v>0</v>
      </c>
      <c r="J68" s="131"/>
      <c r="K68" s="131"/>
      <c r="L68" s="131">
        <f>J68+K68</f>
        <v>0</v>
      </c>
      <c r="M68" s="131">
        <v>8</v>
      </c>
      <c r="N68" s="131">
        <v>29</v>
      </c>
      <c r="O68" s="131">
        <f>M68+N68</f>
        <v>37</v>
      </c>
      <c r="P68" s="180">
        <f t="shared" si="40"/>
        <v>8</v>
      </c>
      <c r="Q68" s="180">
        <f t="shared" si="40"/>
        <v>29</v>
      </c>
      <c r="R68" s="180">
        <f>F68+I68+L68+O68</f>
        <v>37</v>
      </c>
    </row>
    <row r="69" spans="1:23" s="175" customFormat="1" ht="15">
      <c r="A69" s="95">
        <v>11</v>
      </c>
      <c r="B69" s="171"/>
      <c r="C69" s="186" t="s">
        <v>117</v>
      </c>
      <c r="D69" s="173">
        <f>+D70</f>
        <v>0</v>
      </c>
      <c r="E69" s="173">
        <f aca="true" t="shared" si="41" ref="E69:R69">+E70</f>
        <v>0</v>
      </c>
      <c r="F69" s="173">
        <f t="shared" si="41"/>
        <v>0</v>
      </c>
      <c r="G69" s="173">
        <f t="shared" si="41"/>
        <v>12</v>
      </c>
      <c r="H69" s="173">
        <f t="shared" si="41"/>
        <v>13</v>
      </c>
      <c r="I69" s="173">
        <f t="shared" si="41"/>
        <v>25</v>
      </c>
      <c r="J69" s="173">
        <f t="shared" si="41"/>
        <v>12</v>
      </c>
      <c r="K69" s="173">
        <f t="shared" si="41"/>
        <v>21</v>
      </c>
      <c r="L69" s="173">
        <f t="shared" si="41"/>
        <v>33</v>
      </c>
      <c r="M69" s="173">
        <f t="shared" si="41"/>
        <v>6</v>
      </c>
      <c r="N69" s="173">
        <f t="shared" si="41"/>
        <v>8</v>
      </c>
      <c r="O69" s="173">
        <f t="shared" si="41"/>
        <v>14</v>
      </c>
      <c r="P69" s="173">
        <f t="shared" si="41"/>
        <v>30</v>
      </c>
      <c r="Q69" s="173">
        <f t="shared" si="41"/>
        <v>42</v>
      </c>
      <c r="R69" s="173">
        <f t="shared" si="41"/>
        <v>72</v>
      </c>
      <c r="S69" s="174"/>
      <c r="T69" s="174"/>
      <c r="U69" s="174"/>
      <c r="V69" s="174"/>
      <c r="W69" s="174"/>
    </row>
    <row r="70" spans="1:18" s="6" customFormat="1" ht="12.75">
      <c r="A70" s="60">
        <v>55</v>
      </c>
      <c r="B70" s="136">
        <v>60420100</v>
      </c>
      <c r="C70" s="65" t="s">
        <v>106</v>
      </c>
      <c r="D70" s="131"/>
      <c r="E70" s="131"/>
      <c r="F70" s="131">
        <f>D70+E70</f>
        <v>0</v>
      </c>
      <c r="G70" s="131">
        <v>12</v>
      </c>
      <c r="H70" s="131">
        <v>13</v>
      </c>
      <c r="I70" s="131">
        <f>G70+H70</f>
        <v>25</v>
      </c>
      <c r="J70" s="131">
        <v>12</v>
      </c>
      <c r="K70" s="131">
        <v>21</v>
      </c>
      <c r="L70" s="131">
        <f>J70+K70</f>
        <v>33</v>
      </c>
      <c r="M70" s="131">
        <v>6</v>
      </c>
      <c r="N70" s="131">
        <v>8</v>
      </c>
      <c r="O70" s="131">
        <f>M70+N70</f>
        <v>14</v>
      </c>
      <c r="P70" s="180">
        <f>D70+G70+J70+M70</f>
        <v>30</v>
      </c>
      <c r="Q70" s="180">
        <f>E70+H70+K70+N70</f>
        <v>42</v>
      </c>
      <c r="R70" s="180">
        <f>F70+I70+L70+O70</f>
        <v>72</v>
      </c>
    </row>
    <row r="71" spans="1:18" s="169" customFormat="1" ht="21.75">
      <c r="A71" s="95">
        <v>12</v>
      </c>
      <c r="B71" s="171"/>
      <c r="C71" s="187" t="s">
        <v>134</v>
      </c>
      <c r="D71" s="168">
        <f>+D72+D73+D74+D75+D76+D77+D78+D79</f>
        <v>0</v>
      </c>
      <c r="E71" s="168">
        <f aca="true" t="shared" si="42" ref="E71:R71">+E72+E73+E74+E75+E76+E77+E78+E79</f>
        <v>0</v>
      </c>
      <c r="F71" s="168">
        <f t="shared" si="42"/>
        <v>0</v>
      </c>
      <c r="G71" s="168">
        <f t="shared" si="42"/>
        <v>42</v>
      </c>
      <c r="H71" s="168">
        <f t="shared" si="42"/>
        <v>52</v>
      </c>
      <c r="I71" s="168">
        <f t="shared" si="42"/>
        <v>94</v>
      </c>
      <c r="J71" s="168">
        <f t="shared" si="42"/>
        <v>37</v>
      </c>
      <c r="K71" s="168">
        <f t="shared" si="42"/>
        <v>63</v>
      </c>
      <c r="L71" s="168">
        <f t="shared" si="42"/>
        <v>100</v>
      </c>
      <c r="M71" s="168">
        <f t="shared" si="42"/>
        <v>25</v>
      </c>
      <c r="N71" s="168">
        <f t="shared" si="42"/>
        <v>77</v>
      </c>
      <c r="O71" s="168">
        <f t="shared" si="42"/>
        <v>102</v>
      </c>
      <c r="P71" s="168">
        <f t="shared" si="42"/>
        <v>104</v>
      </c>
      <c r="Q71" s="168">
        <f t="shared" si="42"/>
        <v>192</v>
      </c>
      <c r="R71" s="168">
        <f t="shared" si="42"/>
        <v>296</v>
      </c>
    </row>
    <row r="72" spans="1:18" s="30" customFormat="1" ht="12.75">
      <c r="A72" s="60">
        <v>56</v>
      </c>
      <c r="B72" s="136">
        <v>60812100</v>
      </c>
      <c r="C72" s="52" t="s">
        <v>68</v>
      </c>
      <c r="D72" s="131"/>
      <c r="E72" s="131"/>
      <c r="F72" s="131">
        <f aca="true" t="shared" si="43" ref="F72:F79">D72+E72</f>
        <v>0</v>
      </c>
      <c r="G72" s="131">
        <v>6</v>
      </c>
      <c r="H72" s="131">
        <v>11</v>
      </c>
      <c r="I72" s="131">
        <f aca="true" t="shared" si="44" ref="I72:I79">G72+H72</f>
        <v>17</v>
      </c>
      <c r="J72" s="131"/>
      <c r="K72" s="131"/>
      <c r="L72" s="131">
        <f aca="true" t="shared" si="45" ref="L72:L79">J72+K72</f>
        <v>0</v>
      </c>
      <c r="M72" s="131"/>
      <c r="N72" s="131"/>
      <c r="O72" s="131">
        <f aca="true" t="shared" si="46" ref="O72:O79">M72+N72</f>
        <v>0</v>
      </c>
      <c r="P72" s="180">
        <f>G72+J72+M72+D72</f>
        <v>6</v>
      </c>
      <c r="Q72" s="180">
        <f>H72+K72+N72+E72</f>
        <v>11</v>
      </c>
      <c r="R72" s="180">
        <f>F72+I72+L72+O72</f>
        <v>17</v>
      </c>
    </row>
    <row r="73" spans="1:18" ht="12.75">
      <c r="A73" s="60">
        <v>57</v>
      </c>
      <c r="B73" s="143">
        <v>60820100</v>
      </c>
      <c r="C73" s="142" t="s">
        <v>139</v>
      </c>
      <c r="D73" s="131"/>
      <c r="E73" s="131"/>
      <c r="F73" s="131">
        <f t="shared" si="43"/>
        <v>0</v>
      </c>
      <c r="G73" s="131"/>
      <c r="H73" s="131"/>
      <c r="I73" s="131">
        <f t="shared" si="44"/>
        <v>0</v>
      </c>
      <c r="J73" s="131"/>
      <c r="K73" s="131"/>
      <c r="L73" s="131">
        <f t="shared" si="45"/>
        <v>0</v>
      </c>
      <c r="M73" s="131"/>
      <c r="N73" s="131"/>
      <c r="O73" s="131">
        <f t="shared" si="46"/>
        <v>0</v>
      </c>
      <c r="P73" s="180">
        <f aca="true" t="shared" si="47" ref="P73:Q78">G73+J73+M73+D73</f>
        <v>0</v>
      </c>
      <c r="Q73" s="180">
        <f t="shared" si="47"/>
        <v>0</v>
      </c>
      <c r="R73" s="180">
        <f aca="true" t="shared" si="48" ref="R73:R79">F73+I73+L73+O73</f>
        <v>0</v>
      </c>
    </row>
    <row r="74" spans="1:18" ht="12.75">
      <c r="A74" s="60">
        <v>58</v>
      </c>
      <c r="B74" s="136">
        <v>60810700</v>
      </c>
      <c r="C74" s="65" t="s">
        <v>80</v>
      </c>
      <c r="D74" s="131"/>
      <c r="E74" s="131"/>
      <c r="F74" s="131">
        <f t="shared" si="43"/>
        <v>0</v>
      </c>
      <c r="G74" s="131">
        <v>7</v>
      </c>
      <c r="H74" s="131">
        <v>12</v>
      </c>
      <c r="I74" s="131">
        <f t="shared" si="44"/>
        <v>19</v>
      </c>
      <c r="J74" s="131">
        <v>11</v>
      </c>
      <c r="K74" s="131">
        <v>23</v>
      </c>
      <c r="L74" s="131">
        <f t="shared" si="45"/>
        <v>34</v>
      </c>
      <c r="M74" s="131">
        <v>2</v>
      </c>
      <c r="N74" s="131">
        <v>30</v>
      </c>
      <c r="O74" s="131">
        <f t="shared" si="46"/>
        <v>32</v>
      </c>
      <c r="P74" s="180">
        <f t="shared" si="47"/>
        <v>20</v>
      </c>
      <c r="Q74" s="180">
        <f t="shared" si="47"/>
        <v>65</v>
      </c>
      <c r="R74" s="180">
        <f t="shared" si="48"/>
        <v>85</v>
      </c>
    </row>
    <row r="75" spans="1:18" ht="12.75">
      <c r="A75" s="60">
        <v>59</v>
      </c>
      <c r="B75" s="136">
        <v>60811000</v>
      </c>
      <c r="C75" s="93" t="s">
        <v>107</v>
      </c>
      <c r="D75" s="131"/>
      <c r="E75" s="131"/>
      <c r="F75" s="131">
        <f t="shared" si="43"/>
        <v>0</v>
      </c>
      <c r="G75" s="131">
        <v>5</v>
      </c>
      <c r="H75" s="131">
        <v>5</v>
      </c>
      <c r="I75" s="131">
        <f t="shared" si="44"/>
        <v>10</v>
      </c>
      <c r="J75" s="131">
        <v>7</v>
      </c>
      <c r="K75" s="131">
        <v>19</v>
      </c>
      <c r="L75" s="131">
        <f t="shared" si="45"/>
        <v>26</v>
      </c>
      <c r="M75" s="131">
        <v>7</v>
      </c>
      <c r="N75" s="131">
        <v>23</v>
      </c>
      <c r="O75" s="131">
        <f t="shared" si="46"/>
        <v>30</v>
      </c>
      <c r="P75" s="180">
        <f t="shared" si="47"/>
        <v>19</v>
      </c>
      <c r="Q75" s="180">
        <f t="shared" si="47"/>
        <v>47</v>
      </c>
      <c r="R75" s="180">
        <f t="shared" si="48"/>
        <v>66</v>
      </c>
    </row>
    <row r="76" spans="1:18" ht="12.75">
      <c r="A76" s="60">
        <v>60</v>
      </c>
      <c r="B76" s="136">
        <v>60811800</v>
      </c>
      <c r="C76" s="93" t="s">
        <v>108</v>
      </c>
      <c r="D76" s="131"/>
      <c r="E76" s="131"/>
      <c r="F76" s="131">
        <f t="shared" si="43"/>
        <v>0</v>
      </c>
      <c r="G76" s="131">
        <v>9</v>
      </c>
      <c r="H76" s="131">
        <v>5</v>
      </c>
      <c r="I76" s="131">
        <f t="shared" si="44"/>
        <v>14</v>
      </c>
      <c r="J76" s="131">
        <v>6</v>
      </c>
      <c r="K76" s="131">
        <v>6</v>
      </c>
      <c r="L76" s="131">
        <f t="shared" si="45"/>
        <v>12</v>
      </c>
      <c r="M76" s="131">
        <v>7</v>
      </c>
      <c r="N76" s="131">
        <v>6</v>
      </c>
      <c r="O76" s="131">
        <f t="shared" si="46"/>
        <v>13</v>
      </c>
      <c r="P76" s="180">
        <f t="shared" si="47"/>
        <v>22</v>
      </c>
      <c r="Q76" s="180">
        <f t="shared" si="47"/>
        <v>17</v>
      </c>
      <c r="R76" s="180">
        <f t="shared" si="48"/>
        <v>39</v>
      </c>
    </row>
    <row r="77" spans="1:18" ht="12.75">
      <c r="A77" s="60">
        <v>61</v>
      </c>
      <c r="B77" s="136">
        <v>60811900</v>
      </c>
      <c r="C77" s="93" t="s">
        <v>109</v>
      </c>
      <c r="D77" s="131"/>
      <c r="E77" s="131"/>
      <c r="F77" s="131">
        <f t="shared" si="43"/>
        <v>0</v>
      </c>
      <c r="G77" s="131">
        <v>9</v>
      </c>
      <c r="H77" s="131">
        <v>8</v>
      </c>
      <c r="I77" s="131">
        <f t="shared" si="44"/>
        <v>17</v>
      </c>
      <c r="J77" s="131">
        <v>6</v>
      </c>
      <c r="K77" s="131">
        <v>7</v>
      </c>
      <c r="L77" s="131">
        <f t="shared" si="45"/>
        <v>13</v>
      </c>
      <c r="M77" s="131">
        <v>5</v>
      </c>
      <c r="N77" s="131">
        <v>5</v>
      </c>
      <c r="O77" s="131">
        <f t="shared" si="46"/>
        <v>10</v>
      </c>
      <c r="P77" s="180">
        <f t="shared" si="47"/>
        <v>20</v>
      </c>
      <c r="Q77" s="180">
        <f t="shared" si="47"/>
        <v>20</v>
      </c>
      <c r="R77" s="180">
        <f t="shared" si="48"/>
        <v>40</v>
      </c>
    </row>
    <row r="78" spans="1:18" ht="12.75">
      <c r="A78" s="60">
        <v>62</v>
      </c>
      <c r="B78" s="136">
        <v>60812000</v>
      </c>
      <c r="C78" s="93" t="s">
        <v>110</v>
      </c>
      <c r="D78" s="131"/>
      <c r="E78" s="131"/>
      <c r="F78" s="131">
        <f t="shared" si="43"/>
        <v>0</v>
      </c>
      <c r="G78" s="131">
        <v>5</v>
      </c>
      <c r="H78" s="131">
        <v>3</v>
      </c>
      <c r="I78" s="131">
        <f t="shared" si="44"/>
        <v>8</v>
      </c>
      <c r="J78" s="131">
        <v>7</v>
      </c>
      <c r="K78" s="131">
        <v>8</v>
      </c>
      <c r="L78" s="131">
        <f t="shared" si="45"/>
        <v>15</v>
      </c>
      <c r="M78" s="131">
        <v>4</v>
      </c>
      <c r="N78" s="131">
        <v>13</v>
      </c>
      <c r="O78" s="131">
        <f t="shared" si="46"/>
        <v>17</v>
      </c>
      <c r="P78" s="180">
        <f t="shared" si="47"/>
        <v>16</v>
      </c>
      <c r="Q78" s="180">
        <f t="shared" si="47"/>
        <v>24</v>
      </c>
      <c r="R78" s="180">
        <f t="shared" si="48"/>
        <v>40</v>
      </c>
    </row>
    <row r="79" spans="1:18" ht="22.5">
      <c r="A79" s="60">
        <v>63</v>
      </c>
      <c r="B79" s="130">
        <v>60811200</v>
      </c>
      <c r="C79" s="93" t="s">
        <v>129</v>
      </c>
      <c r="D79" s="131"/>
      <c r="E79" s="131"/>
      <c r="F79" s="131">
        <f t="shared" si="43"/>
        <v>0</v>
      </c>
      <c r="G79" s="131">
        <v>1</v>
      </c>
      <c r="H79" s="131">
        <v>8</v>
      </c>
      <c r="I79" s="131">
        <f t="shared" si="44"/>
        <v>9</v>
      </c>
      <c r="J79" s="131"/>
      <c r="K79" s="131"/>
      <c r="L79" s="131">
        <f t="shared" si="45"/>
        <v>0</v>
      </c>
      <c r="M79" s="131"/>
      <c r="N79" s="131"/>
      <c r="O79" s="131">
        <f t="shared" si="46"/>
        <v>0</v>
      </c>
      <c r="P79" s="180">
        <f>G79+J79+M79+D79</f>
        <v>1</v>
      </c>
      <c r="Q79" s="180">
        <f>H79+K79+N79+E79</f>
        <v>8</v>
      </c>
      <c r="R79" s="180">
        <f t="shared" si="48"/>
        <v>9</v>
      </c>
    </row>
    <row r="80" spans="1:19" s="178" customFormat="1" ht="13.5" customHeight="1">
      <c r="A80" s="176"/>
      <c r="B80" s="170"/>
      <c r="C80" s="167" t="s">
        <v>18</v>
      </c>
      <c r="D80" s="177">
        <f>+D71+D69+D65+D56+D50+D44+D38+D30+D22+D14+D10+D5</f>
        <v>0</v>
      </c>
      <c r="E80" s="177">
        <f aca="true" t="shared" si="49" ref="E80:S80">+E71+E69+E65+E56+E50+E44+E38+E30+E22+E14+E10+E5</f>
        <v>0</v>
      </c>
      <c r="F80" s="177">
        <f t="shared" si="49"/>
        <v>0</v>
      </c>
      <c r="G80" s="177">
        <f t="shared" si="49"/>
        <v>388</v>
      </c>
      <c r="H80" s="177">
        <f t="shared" si="49"/>
        <v>865</v>
      </c>
      <c r="I80" s="177">
        <f t="shared" si="49"/>
        <v>1253</v>
      </c>
      <c r="J80" s="177">
        <f t="shared" si="49"/>
        <v>393</v>
      </c>
      <c r="K80" s="177">
        <f t="shared" si="49"/>
        <v>1027</v>
      </c>
      <c r="L80" s="177">
        <f t="shared" si="49"/>
        <v>1420</v>
      </c>
      <c r="M80" s="177">
        <f t="shared" si="49"/>
        <v>402</v>
      </c>
      <c r="N80" s="177">
        <f t="shared" si="49"/>
        <v>2037</v>
      </c>
      <c r="O80" s="177">
        <f t="shared" si="49"/>
        <v>2228</v>
      </c>
      <c r="P80" s="177">
        <f t="shared" si="49"/>
        <v>1183</v>
      </c>
      <c r="Q80" s="177">
        <f t="shared" si="49"/>
        <v>3929</v>
      </c>
      <c r="R80" s="177">
        <f t="shared" si="49"/>
        <v>4901</v>
      </c>
      <c r="S80" s="177">
        <f t="shared" si="49"/>
        <v>0</v>
      </c>
    </row>
    <row r="88" ht="11.25" customHeight="1"/>
  </sheetData>
  <sheetProtection/>
  <mergeCells count="10">
    <mergeCell ref="J3:L3"/>
    <mergeCell ref="M3:O3"/>
    <mergeCell ref="A1:R1"/>
    <mergeCell ref="A2:R2"/>
    <mergeCell ref="D3:F3"/>
    <mergeCell ref="C3:C4"/>
    <mergeCell ref="A3:A4"/>
    <mergeCell ref="G3:I3"/>
    <mergeCell ref="P3:R3"/>
    <mergeCell ref="B3:B4"/>
  </mergeCells>
  <printOptions/>
  <pageMargins left="0.75" right="0.75" top="0.5" bottom="0.35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2023-02-15T05:39:22Z</cp:lastPrinted>
  <dcterms:created xsi:type="dcterms:W3CDTF">1996-10-08T23:32:33Z</dcterms:created>
  <dcterms:modified xsi:type="dcterms:W3CDTF">2023-11-03T06:56:34Z</dcterms:modified>
  <cp:category/>
  <cp:version/>
  <cp:contentType/>
  <cp:contentStatus/>
</cp:coreProperties>
</file>